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05 Adda and Paul Safran Senior Housing\"/>
    </mc:Choice>
  </mc:AlternateContent>
  <xr:revisionPtr revIDLastSave="0" documentId="13_ncr:1_{087476EC-1DAF-4355-86E3-1FB4A498F6A4}" xr6:coauthVersionLast="47" xr6:coauthVersionMax="47" xr10:uidLastSave="{00000000-0000-0000-0000-000000000000}"/>
  <bookViews>
    <workbookView xWindow="-108" yWindow="-108" windowWidth="23256" windowHeight="12576" tabRatio="753"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Basis &amp; Credits" sheetId="15" r:id="rId6"/>
    <sheet name="Sources and Basis Breakdown" sheetId="13" r:id="rId7"/>
    <sheet name="Points System" sheetId="20" r:id="rId8"/>
    <sheet name="Tie Breaker" sheetId="21" r:id="rId9"/>
    <sheet name="Subsidy Contract Calculation" sheetId="8" r:id="rId10"/>
    <sheet name="15 Year Pro Forma" sheetId="7" r:id="rId11"/>
    <sheet name="CalHFA Addendum" sheetId="23" r:id="rId12"/>
    <sheet name="Post-award Instructions" sheetId="12" r:id="rId13"/>
    <sheet name="Post-award Project Cost Changes" sheetId="11" r:id="rId14"/>
  </sheets>
  <definedNames>
    <definedName name="_xlnm._FilterDatabase" localSheetId="3" hidden="1">Application!$J$957:$S$957</definedName>
    <definedName name="bedrooms" localSheetId="11">Application!$CB$159:$CH$159</definedName>
    <definedName name="bedrooms">Application!$CB$159:$CH$159</definedName>
    <definedName name="HudFmrs" localSheetId="11">Application!$BX$656:$CB$713</definedName>
    <definedName name="HudFmrs">Application!$CJ$160:$CN$217</definedName>
    <definedName name="ListofSources" localSheetId="11">Application!$BN$511:$BN$536</definedName>
    <definedName name="ListofSources">Application!$BN$512:$BN$537</definedName>
    <definedName name="_xlnm.Print_Area" localSheetId="10">'15 Year Pro Forma'!$A$1:$AH$77</definedName>
    <definedName name="_xlnm.Print_Area" localSheetId="3">Application!$A:$AT</definedName>
    <definedName name="_xlnm.Print_Area" localSheetId="2">'Application Checklist'!$A$1:$I$1130</definedName>
    <definedName name="_xlnm.Print_Area" localSheetId="5">'Basis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6">'Sources and Basis Breakdown'!$A$1:$J$111</definedName>
    <definedName name="_xlnm.Print_Area" localSheetId="4">'Sources and Uses Budget'!$A$1:$T$139</definedName>
    <definedName name="_xlnm.Print_Area" localSheetId="8">'Tie Breaker'!$A$1:$I$132</definedName>
    <definedName name="_xlnm.Print_Titles" localSheetId="6">'Sources and Basis Breakdown'!$1:$2</definedName>
    <definedName name="_xlnm.Print_Titles" localSheetId="4">'Sources and Uses Budget'!$1:$2</definedName>
    <definedName name="_xlnm.Print_Titles" localSheetId="8">'Tie Breaker'!$1:$7</definedName>
    <definedName name="TC_Rent" localSheetId="11">Application!$CB$159:$CH$217</definedName>
    <definedName name="TC_Rent">Application!$CB$159:$CH$217</definedName>
    <definedName name="TcacRents" localSheetId="11">Application!$BQ$656:$BV$713</definedName>
    <definedName name="TcacRents">Application!$CC$160:$CH$217</definedName>
    <definedName name="UnitSizes" localSheetId="11">Application!$BA$595:$BA$600</definedName>
    <definedName name="UnitSizes">Application!$AZ$702:$AZ$707</definedName>
    <definedName name="Z_48A1B9AA_9520_4513_968D_1FB22989E0AF_.wvu.Cols" localSheetId="5"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5" hidden="1">'Basis &amp; Credits'!$A$1:$AN$83</definedName>
    <definedName name="Z_48A1B9AA_9520_4513_968D_1FB22989E0AF_.wvu.PrintArea" localSheetId="7" hidden="1">'Points System'!$A$1:$AM$823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5"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0"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M562" i="3"/>
  <c r="G70" i="21" l="1"/>
  <c r="G76" i="21" s="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S26" i="4"/>
  <c r="C26" i="4"/>
  <c r="B26" i="13" s="1"/>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S27" i="4" s="1"/>
  <c r="E27" i="13" s="1"/>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AO23" i="20" l="1"/>
  <c r="AO18" i="20"/>
  <c r="D87" i="11"/>
  <c r="D94" i="11"/>
  <c r="D86" i="11"/>
  <c r="D92" i="11"/>
  <c r="D35" i="11"/>
  <c r="D36" i="11"/>
  <c r="D93" i="11"/>
  <c r="D25" i="11"/>
  <c r="D34" i="11"/>
  <c r="D70" i="11"/>
  <c r="D104" i="11"/>
  <c r="J6" i="8"/>
  <c r="D33" i="11"/>
  <c r="D32" i="11"/>
  <c r="D85" i="11"/>
  <c r="J5" i="8"/>
  <c r="J4" i="8"/>
  <c r="D91" i="11"/>
  <c r="D90" i="11"/>
  <c r="D6" i="11"/>
  <c r="D54" i="11"/>
  <c r="D88" i="11"/>
  <c r="D96" i="11"/>
  <c r="D89" i="11"/>
  <c r="D103" i="11"/>
  <c r="D101"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O20" i="21" s="1"/>
  <c r="S41" i="21"/>
  <c r="U33" i="21"/>
  <c r="S33" i="21"/>
  <c r="S44" i="21"/>
  <c r="S40" i="21"/>
  <c r="U32" i="21"/>
  <c r="S32" i="21"/>
  <c r="U24" i="21"/>
  <c r="U28" i="21"/>
  <c r="S39" i="21"/>
  <c r="AH720" i="3"/>
  <c r="T22" i="21"/>
  <c r="U22" i="21"/>
  <c r="O22" i="21" s="1"/>
  <c r="U37" i="21"/>
  <c r="U29" i="21"/>
  <c r="T21" i="21"/>
  <c r="U21" i="21"/>
  <c r="O21" i="21" s="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71" i="11"/>
  <c r="J40" i="8"/>
  <c r="Z809" i="3" s="1"/>
  <c r="AJ621" i="20"/>
  <c r="AK794" i="20" s="1"/>
  <c r="T819" i="20" s="1"/>
  <c r="AF819" i="20" s="1"/>
  <c r="BE82" i="3" s="1"/>
  <c r="G94" i="21"/>
  <c r="D43" i="11"/>
  <c r="D82" i="11"/>
  <c r="D55" i="11"/>
  <c r="B12" i="4"/>
  <c r="N195" i="23"/>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T805" i="20"/>
  <c r="AF805" i="20" s="1"/>
  <c r="BE72" i="3" s="1"/>
  <c r="N185" i="23"/>
  <c r="BE22" i="3"/>
  <c r="AB49" i="15"/>
  <c r="S107" i="4"/>
  <c r="E105" i="13"/>
  <c r="BA1056" i="3"/>
  <c r="AZ1051" i="3"/>
  <c r="H105" i="13"/>
  <c r="T107" i="4"/>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29" i="3"/>
  <c r="H107" i="13"/>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AD11" i="15"/>
  <c r="AD23" i="15" s="1"/>
  <c r="AD26" i="15" s="1"/>
  <c r="AD28" i="15" s="1"/>
  <c r="AI11" i="15"/>
  <c r="AI23" i="15" s="1"/>
  <c r="AI26" i="15" s="1"/>
  <c r="AI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B50" i="15" l="1"/>
  <c r="AC53" i="7"/>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<sst xmlns="http://schemas.openxmlformats.org/spreadsheetml/2006/main" count="5058" uniqueCount="2745">
  <si>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</si>
  <si>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</si>
  <si>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</si>
  <si>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</si>
  <si>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</si>
  <si>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</si>
  <si>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</si>
  <si>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</si>
  <si>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</si>
  <si>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</si>
  <si>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</si>
  <si>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</si>
  <si>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</si>
  <si>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</si>
  <si>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</si>
  <si>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</si>
  <si>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</si>
  <si>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</si>
  <si>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</si>
  <si>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</si>
  <si>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</si>
  <si>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</si>
  <si>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</si>
  <si>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</si>
  <si>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</si>
  <si>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</si>
  <si>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</si>
  <si>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</si>
  <si>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</si>
  <si>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</si>
  <si>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</si>
  <si>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</si>
  <si>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</si>
  <si>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</si>
  <si>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</si>
  <si>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</si>
  <si>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</si>
  <si>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</si>
  <si>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</si>
  <si>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</si>
  <si>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</si>
  <si>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</si>
  <si>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</si>
  <si>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</si>
  <si>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</si>
  <si>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</si>
  <si>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</si>
  <si>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</si>
  <si>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</si>
  <si>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</si>
  <si>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</si>
  <si>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</si>
  <si>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</si>
  <si>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</si>
  <si>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</si>
  <si>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</si>
  <si>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</si>
  <si>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</si>
  <si>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</si>
  <si>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</si>
  <si>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</si>
  <si>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</si>
  <si>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</si>
  <si>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</si>
  <si>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</si>
  <si>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</si>
  <si>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</si>
  <si>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</si>
  <si>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</si>
  <si>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</si>
  <si>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</si>
  <si>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</si>
  <si>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</si>
  <si>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</si>
  <si>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</si>
  <si>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</si>
  <si>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</si>
  <si>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</si>
  <si>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</si>
  <si>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</si>
  <si>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</si>
  <si>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</si>
  <si>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</si>
  <si>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</si>
  <si>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</si>
  <si>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</si>
  <si>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</si>
  <si>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</si>
  <si>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</si>
  <si>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</si>
  <si>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</si>
  <si>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</si>
  <si>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</si>
  <si>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</si>
  <si>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</si>
  <si>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</si>
  <si>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</si>
  <si>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</si>
  <si>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</si>
  <si>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</si>
  <si>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</si>
  <si>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</si>
  <si>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</si>
  <si>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</si>
  <si>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</si>
  <si>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</si>
  <si>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</si>
  <si>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</si>
  <si>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</si>
  <si>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</si>
  <si>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</si>
  <si>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</si>
  <si>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</si>
  <si>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</si>
  <si>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</si>
  <si>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</si>
  <si>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</si>
  <si>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</si>
  <si>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</si>
  <si>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</si>
  <si>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</si>
  <si>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</si>
  <si>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</si>
  <si>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</si>
  <si>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</si>
  <si>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</si>
  <si>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</si>
  <si>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</si>
  <si>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</si>
  <si>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</si>
  <si>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</si>
  <si>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</si>
  <si>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</si>
  <si>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</si>
  <si>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</si>
  <si>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</si>
  <si>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</si>
  <si>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</si>
  <si>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</si>
  <si>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</si>
  <si>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</si>
  <si>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</si>
  <si>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</si>
  <si>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</si>
  <si>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</si>
  <si>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</si>
  <si>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</si>
  <si>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</si>
  <si>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</si>
  <si>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</si>
  <si>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</si>
  <si>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</si>
  <si>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</si>
  <si>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</si>
  <si>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</si>
  <si>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</si>
  <si>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</si>
  <si>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</si>
  <si>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</si>
  <si>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</si>
  <si>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</si>
  <si>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</si>
  <si>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</si>
  <si>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</si>
  <si>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</si>
  <si>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</si>
  <si>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</si>
  <si>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</si>
  <si>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</si>
  <si>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</si>
  <si>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</si>
  <si>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</si>
  <si>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</si>
  <si>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</si>
  <si>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</si>
  <si>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</si>
  <si>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</si>
  <si>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</si>
  <si>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</si>
  <si>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</si>
  <si>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</si>
  <si>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</si>
  <si>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</si>
  <si>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</si>
  <si>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</si>
  <si>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</si>
  <si>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</si>
  <si>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</si>
  <si>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</si>
  <si>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</si>
  <si>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</si>
  <si>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</si>
  <si>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</si>
  <si>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</si>
  <si>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</si>
  <si>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</si>
  <si>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</si>
  <si>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</si>
  <si>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</si>
  <si>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</si>
  <si>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</si>
  <si>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</si>
  <si>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</si>
  <si>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</si>
  <si>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</si>
  <si>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</si>
  <si>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</si>
  <si>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</si>
  <si>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</si>
  <si>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</si>
  <si>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</si>
  <si>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</si>
  <si>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</si>
  <si>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</si>
  <si>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</si>
  <si>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</si>
  <si>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</si>
  <si>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</si>
  <si>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</si>
  <si>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</si>
  <si>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</si>
  <si>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</si>
  <si>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</si>
  <si>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</si>
  <si>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</si>
  <si>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</si>
  <si>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</si>
  <si>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</si>
  <si>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</si>
  <si>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</si>
  <si>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</si>
  <si>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</si>
  <si>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</si>
  <si>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</si>
  <si>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</si>
  <si>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</si>
  <si>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</si>
  <si>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</si>
  <si>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</si>
  <si>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</si>
  <si>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</si>
  <si>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</si>
  <si>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</si>
  <si>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</si>
  <si>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</si>
  <si>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</si>
  <si>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</si>
  <si>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</si>
  <si>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</si>
  <si>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</si>
  <si>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</si>
  <si>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</si>
  <si>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</si>
  <si>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</si>
  <si>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</si>
  <si>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</si>
  <si>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</si>
  <si>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</si>
  <si>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</si>
  <si>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</si>
  <si>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</si>
  <si>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</si>
  <si>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</si>
  <si>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</si>
  <si>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</si>
  <si>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</si>
  <si>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</si>
  <si>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</si>
  <si>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</si>
  <si>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</si>
  <si>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</si>
  <si>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</si>
  <si>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</si>
  <si>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</si>
  <si>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</si>
  <si>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</si>
  <si>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</si>
  <si>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</si>
  <si>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</si>
  <si>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</si>
  <si>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</si>
  <si>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</si>
  <si>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</si>
  <si>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</si>
  <si>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</si>
  <si>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</si>
  <si>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</si>
  <si>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</si>
  <si>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</si>
  <si>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</si>
  <si>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</si>
  <si>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</si>
  <si>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</si>
  <si>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</si>
  <si>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</si>
  <si>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</si>
  <si>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</si>
  <si>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</si>
  <si>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</si>
  <si>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</si>
  <si>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</si>
  <si>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</si>
  <si>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</si>
  <si>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</si>
  <si>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</si>
  <si>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</si>
  <si>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</si>
  <si>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</si>
  <si>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</si>
  <si>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</si>
  <si>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</si>
  <si>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</si>
  <si>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</si>
  <si>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</si>
  <si>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</si>
  <si>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</si>
  <si>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</si>
  <si>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</si>
  <si>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</si>
  <si>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</si>
  <si>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</si>
  <si>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</si>
  <si>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</si>
  <si>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</si>
  <si>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</si>
  <si>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</si>
  <si>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</si>
  <si>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</si>
  <si>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</si>
  <si>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</si>
  <si>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</si>
  <si>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</si>
  <si>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</si>
  <si>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</si>
  <si>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</si>
  <si>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</si>
  <si>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</si>
  <si>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</si>
  <si>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</si>
  <si>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</si>
  <si>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</si>
  <si>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</si>
  <si>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</si>
  <si>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</si>
  <si>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</si>
  <si>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</si>
  <si>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</si>
  <si>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</si>
  <si>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</si>
  <si>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</si>
  <si>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</si>
  <si>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</si>
  <si>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</si>
  <si>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</si>
  <si>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</si>
  <si>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</si>
  <si>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</si>
  <si>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</si>
  <si>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</si>
  <si>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</si>
  <si>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</si>
  <si>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</si>
  <si>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</si>
  <si>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</si>
  <si>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</si>
  <si>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</si>
  <si>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</si>
  <si>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</si>
  <si>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</si>
  <si>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</si>
  <si>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</si>
  <si>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</si>
  <si>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</si>
  <si>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</si>
  <si>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</si>
  <si>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</si>
  <si>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</si>
  <si>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</si>
  <si>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</si>
  <si>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</si>
  <si>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</si>
  <si>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</si>
  <si>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</si>
  <si>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</si>
  <si>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</si>
  <si>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</si>
  <si>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</si>
  <si>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</si>
  <si>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</si>
  <si>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</si>
  <si>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</si>
  <si>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</si>
  <si>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</si>
  <si>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</si>
  <si>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</si>
  <si>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</si>
  <si>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</si>
  <si>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</si>
  <si>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</si>
  <si>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</si>
  <si>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</si>
  <si>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</si>
  <si>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</si>
  <si>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</si>
  <si>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</si>
  <si>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</si>
  <si>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</si>
  <si>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</si>
  <si>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</si>
  <si>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</si>
  <si>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</si>
  <si>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</si>
  <si>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</si>
  <si>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</si>
  <si>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</si>
  <si>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</si>
  <si>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</si>
  <si>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</si>
  <si>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</si>
  <si>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</si>
  <si>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</si>
  <si>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</si>
  <si>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</si>
  <si>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</si>
  <si>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</si>
  <si>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</si>
  <si>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</si>
  <si>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</si>
  <si>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</si>
  <si>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</si>
  <si>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</si>
  <si>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</si>
  <si>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</si>
  <si>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</si>
  <si>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</si>
  <si>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</si>
  <si>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</si>
  <si>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</si>
  <si>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</si>
  <si>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</si>
  <si>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</si>
  <si>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</si>
  <si>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</si>
  <si>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</si>
  <si>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</si>
  <si>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</si>
  <si>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</si>
  <si>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</si>
  <si>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</si>
  <si>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</si>
  <si>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</si>
  <si>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</si>
  <si>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</si>
  <si>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</si>
  <si>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</si>
  <si>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</si>
  <si>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</si>
  <si>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</si>
  <si>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</si>
  <si>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</si>
  <si>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</si>
  <si>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</si>
  <si>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</si>
  <si>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</si>
  <si>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</si>
  <si>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</si>
  <si>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</si>
  <si>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</si>
  <si>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</si>
  <si>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</si>
  <si>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</si>
  <si>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</si>
  <si>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</si>
  <si>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</si>
  <si>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</si>
  <si>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</si>
  <si>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</si>
  <si>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</si>
  <si>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</si>
  <si>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</si>
  <si>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</si>
  <si>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</si>
  <si>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</si>
  <si>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</si>
  <si>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</si>
  <si>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</si>
  <si>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</si>
  <si>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</si>
  <si>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</si>
  <si>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</si>
  <si>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</si>
  <si>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</si>
  <si>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</si>
  <si>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</si>
  <si>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</si>
  <si>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</si>
  <si>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</si>
  <si>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</si>
  <si>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</si>
  <si>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</si>
  <si>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</si>
  <si>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</si>
  <si>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</si>
  <si>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</si>
  <si>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</si>
  <si>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</si>
  <si>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</si>
  <si>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</si>
  <si>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</si>
  <si>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</si>
  <si>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</si>
  <si>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</si>
  <si>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</si>
  <si>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</si>
  <si>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</si>
  <si>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</si>
  <si>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</si>
  <si>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</si>
  <si>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</si>
  <si>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</si>
  <si>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</si>
  <si>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</si>
  <si>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</si>
  <si>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</si>
  <si>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</si>
  <si>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</si>
  <si>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</si>
  <si>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</si>
  <si>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</si>
  <si>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</si>
  <si>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</si>
  <si>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</si>
  <si>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</si>
  <si>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</si>
  <si>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</si>
  <si>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</si>
  <si>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</si>
  <si>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</si>
  <si>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</si>
  <si>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</si>
  <si>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</si>
  <si>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</si>
  <si>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</si>
  <si>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</si>
  <si>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</si>
  <si>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</si>
  <si>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</si>
  <si>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</si>
  <si>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</si>
  <si>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</si>
  <si>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</si>
  <si>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</si>
  <si>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</si>
  <si>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</si>
  <si>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</si>
  <si>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</si>
  <si>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</si>
  <si>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</si>
  <si>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</si>
  <si>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</si>
  <si>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</si>
  <si>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</si>
  <si>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</si>
  <si>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</si>
  <si>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</si>
  <si>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</si>
  <si>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</si>
  <si>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</si>
  <si>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</si>
  <si>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</si>
  <si>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</si>
  <si>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</si>
  <si>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</si>
  <si>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</si>
  <si>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</si>
  <si>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</si>
  <si>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</si>
  <si>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</si>
  <si>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</si>
  <si>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</si>
  <si>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</si>
  <si>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</si>
  <si>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</si>
  <si>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</si>
  <si>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</si>
  <si>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</si>
  <si>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</si>
  <si>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</si>
  <si>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</si>
  <si>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</si>
  <si>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</si>
  <si>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</si>
  <si>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</si>
  <si>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</si>
  <si>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</si>
  <si>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</si>
  <si>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</si>
  <si>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</si>
  <si>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</si>
  <si>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</si>
  <si>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</si>
  <si>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</si>
  <si>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</si>
  <si>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</si>
  <si>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</si>
  <si>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</si>
  <si>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</si>
  <si>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</si>
  <si>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</si>
  <si>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</si>
  <si>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</si>
  <si>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</si>
  <si>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</si>
  <si>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</si>
  <si>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</si>
  <si>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</si>
  <si>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</si>
  <si>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</si>
  <si>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</si>
  <si>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</si>
  <si>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</si>
  <si>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</si>
  <si>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</si>
  <si>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</si>
  <si>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</si>
  <si>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</si>
  <si>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</si>
  <si>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</si>
  <si>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</si>
  <si>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</si>
  <si>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</si>
  <si>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</si>
  <si>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</si>
  <si>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</si>
  <si>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</si>
  <si>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</si>
  <si>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</si>
  <si>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</si>
  <si>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</si>
  <si>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</si>
  <si>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</si>
  <si>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</si>
  <si>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</si>
  <si>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</si>
  <si>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</si>
  <si>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</si>
  <si>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</si>
  <si>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</si>
  <si>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</si>
  <si>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</si>
  <si>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</si>
  <si>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</si>
  <si>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</si>
  <si>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</si>
  <si>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</si>
  <si>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</si>
  <si>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</si>
  <si>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</si>
  <si>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</si>
  <si>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</si>
  <si>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</si>
  <si>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</si>
  <si>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</si>
  <si>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</si>
  <si>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</si>
  <si>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</si>
  <si>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</si>
  <si>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</si>
  <si>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</si>
  <si>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</si>
  <si>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</si>
  <si>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</si>
  <si>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</si>
  <si>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</si>
  <si>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</si>
  <si>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</si>
  <si>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</si>
  <si>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</si>
  <si>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</si>
  <si>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</si>
  <si>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</si>
  <si>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</si>
  <si>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</si>
  <si>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</si>
  <si>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</si>
  <si>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</si>
  <si>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</si>
  <si>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</si>
  <si>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</si>
  <si>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</si>
  <si>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</si>
  <si>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</si>
  <si>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</si>
  <si>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</si>
  <si>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</si>
  <si>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</si>
  <si>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</si>
  <si>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</si>
  <si>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</si>
  <si>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</si>
  <si>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</si>
  <si>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</si>
  <si>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</si>
  <si>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</si>
  <si>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</si>
  <si>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</si>
  <si>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</si>
  <si>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</si>
  <si>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</si>
  <si>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</si>
  <si>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</si>
  <si>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</si>
  <si>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</si>
  <si>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</si>
  <si>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</si>
  <si>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</si>
  <si>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</si>
  <si>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</si>
  <si>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</si>
  <si>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</si>
  <si>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</si>
  <si>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</si>
  <si>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</si>
  <si>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</si>
  <si>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</si>
  <si>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</si>
  <si>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</si>
  <si>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</si>
  <si>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</si>
  <si>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</si>
  <si>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</si>
  <si>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</si>
  <si>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</si>
  <si>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</si>
  <si>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</si>
  <si>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</si>
  <si>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</si>
  <si>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</si>
  <si>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</si>
  <si>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</si>
  <si>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</si>
  <si>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</si>
  <si>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</si>
  <si>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</si>
  <si>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</si>
  <si>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</si>
  <si>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</si>
  <si>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</si>
  <si>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</si>
  <si>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</si>
  <si>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</si>
  <si>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</si>
  <si>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</si>
  <si>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</si>
  <si>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</si>
  <si>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</si>
  <si>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</si>
  <si>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</si>
  <si>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</si>
  <si>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</si>
  <si>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</si>
  <si>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</si>
  <si>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</si>
  <si>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</si>
  <si>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</si>
  <si>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</si>
  <si>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</si>
  <si>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</si>
  <si>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</si>
  <si>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</si>
  <si>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</si>
  <si>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</si>
  <si>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</si>
  <si>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</si>
  <si>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</si>
  <si>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</si>
  <si>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</si>
  <si>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</si>
  <si>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</si>
  <si>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</si>
  <si>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</si>
  <si>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</si>
  <si>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</si>
  <si>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</si>
  <si>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</si>
  <si>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</si>
  <si>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</si>
  <si>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</si>
  <si>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</si>
  <si>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</si>
  <si>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</si>
  <si>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</si>
  <si>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</si>
  <si>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</si>
  <si>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</si>
  <si>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</si>
  <si>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</si>
  <si>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</si>
  <si>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</si>
  <si>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</si>
  <si>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</si>
  <si>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</si>
  <si>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</si>
  <si>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</si>
  <si>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</si>
  <si>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</si>
  <si>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</si>
  <si>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</si>
  <si>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</si>
  <si>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</si>
  <si>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</si>
  <si>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</si>
  <si>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</si>
  <si>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</si>
  <si>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</si>
  <si>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</si>
  <si>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</si>
  <si>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</si>
  <si>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</si>
  <si>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</si>
  <si>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</si>
  <si>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</si>
  <si>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</si>
  <si>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</si>
  <si>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</si>
  <si>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</si>
  <si>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</si>
  <si>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</si>
  <si>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</si>
  <si>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</si>
  <si>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</si>
  <si>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</si>
  <si>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</si>
  <si>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</si>
  <si>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</si>
  <si>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</si>
  <si>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</si>
  <si>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</si>
  <si>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</si>
  <si>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</si>
  <si>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</si>
  <si>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</si>
  <si>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</si>
  <si>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</si>
  <si>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</si>
  <si>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</si>
  <si>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</si>
  <si>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</si>
  <si>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</si>
  <si>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</si>
  <si>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</si>
  <si>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</si>
  <si>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</si>
  <si>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</si>
  <si>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</si>
  <si>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</si>
  <si>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</si>
  <si>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</si>
  <si>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</si>
  <si>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</si>
  <si>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</si>
  <si>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</si>
  <si>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</si>
  <si>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</si>
  <si>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</si>
  <si>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</si>
  <si>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</si>
  <si>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</si>
  <si>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</si>
  <si>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</si>
  <si>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</si>
  <si>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</si>
  <si>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</si>
  <si>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</si>
  <si>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</si>
  <si>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</si>
  <si>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</si>
  <si>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</si>
  <si>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</si>
  <si>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</si>
  <si>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</si>
  <si>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</si>
  <si>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</si>
  <si>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</si>
  <si>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</si>
  <si>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</si>
  <si>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</si>
  <si>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</si>
  <si>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</si>
  <si>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</si>
  <si>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</si>
  <si>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</si>
  <si>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</si>
  <si>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</si>
  <si>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</si>
  <si>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</si>
  <si>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</si>
  <si>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</si>
  <si>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</si>
  <si>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</si>
  <si>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</si>
  <si>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</si>
  <si>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</si>
  <si>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</si>
  <si>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</si>
  <si>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</si>
  <si>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</si>
  <si>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</si>
  <si>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</si>
  <si>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</si>
  <si>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</si>
  <si>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</si>
  <si>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</si>
  <si>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</si>
  <si>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</si>
  <si>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</si>
  <si>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</si>
  <si>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</si>
  <si>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</si>
  <si>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</si>
  <si>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</si>
  <si>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</si>
  <si>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</si>
  <si>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</si>
  <si>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</si>
  <si>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</si>
  <si>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</si>
  <si>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</si>
  <si>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</si>
  <si>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</si>
  <si>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</si>
  <si>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</si>
  <si>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</si>
  <si>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</si>
  <si>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</si>
  <si>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</si>
  <si>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</si>
  <si>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</si>
  <si>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</si>
  <si>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</si>
  <si>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</si>
  <si>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</si>
  <si>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</si>
  <si>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</si>
  <si>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</si>
  <si>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</si>
  <si>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</si>
  <si>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</si>
  <si>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</si>
  <si>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</si>
  <si>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</si>
  <si>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</si>
  <si>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</si>
  <si>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</si>
  <si>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</si>
  <si>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</si>
  <si>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</si>
  <si>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</si>
  <si>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</si>
  <si>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</si>
  <si>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</si>
  <si>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</si>
  <si>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</si>
  <si>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</si>
  <si>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</si>
  <si>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</si>
  <si>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</si>
  <si>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</si>
  <si>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</si>
  <si>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</si>
  <si>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</si>
  <si>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</si>
  <si>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</si>
  <si>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</si>
  <si>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</si>
  <si>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</si>
  <si>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</si>
  <si>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</si>
  <si>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</si>
  <si>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</si>
  <si>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</si>
  <si>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</si>
  <si>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</si>
  <si>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</si>
  <si>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</si>
  <si>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</si>
  <si>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</si>
  <si>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</si>
  <si>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</si>
  <si>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</si>
  <si>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</si>
  <si>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</si>
  <si>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</si>
  <si>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</si>
  <si>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</si>
  <si>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</si>
  <si>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</si>
  <si>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</si>
  <si>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</si>
  <si>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</si>
  <si>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</si>
  <si>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</si>
  <si>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</si>
  <si>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</si>
  <si>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</si>
  <si>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</si>
  <si>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</si>
  <si>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</si>
  <si>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</si>
  <si>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</si>
  <si>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</si>
  <si>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</si>
  <si>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</si>
  <si>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</si>
  <si>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</si>
  <si>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</si>
  <si>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</si>
  <si>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</si>
  <si>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</si>
  <si>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</si>
  <si>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</si>
  <si>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</si>
  <si>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</si>
  <si>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</si>
  <si>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</si>
  <si>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</si>
  <si>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</si>
  <si>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</si>
  <si>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</si>
  <si>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</si>
  <si>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</si>
  <si>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</si>
  <si>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</si>
  <si>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</si>
  <si>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</si>
  <si>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</si>
  <si>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</si>
  <si>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</si>
  <si>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</si>
  <si>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</si>
  <si>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</si>
  <si>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</si>
  <si>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</si>
  <si>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</si>
  <si>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</si>
  <si>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</si>
  <si>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</si>
  <si>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</si>
  <si>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</si>
  <si>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</si>
  <si>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</si>
  <si>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</si>
  <si>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</si>
  <si>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</si>
  <si>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</si>
  <si>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</si>
  <si>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</si>
  <si>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</si>
  <si>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</si>
  <si>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</si>
  <si>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</si>
  <si>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</si>
  <si>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</si>
  <si>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</si>
  <si>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</si>
  <si>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</si>
  <si>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</si>
  <si>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</si>
  <si>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</si>
  <si>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</si>
  <si>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</si>
  <si>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</si>
  <si>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</si>
  <si>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</si>
  <si>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</si>
  <si>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</si>
  <si>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</si>
  <si>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</si>
  <si>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</si>
  <si>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</si>
  <si>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</si>
  <si>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</si>
  <si>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</si>
  <si>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</si>
  <si>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</si>
  <si>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</si>
  <si>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</si>
  <si>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</si>
  <si>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</si>
  <si>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</si>
  <si>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</si>
  <si>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</si>
  <si>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</si>
  <si>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</si>
  <si>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</si>
  <si>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</si>
  <si>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</si>
  <si>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</si>
  <si>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</si>
  <si>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</si>
  <si>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</si>
  <si>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</si>
  <si>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</si>
  <si>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</si>
  <si>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</si>
  <si>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</si>
  <si>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</si>
  <si>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</si>
  <si>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</si>
  <si>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</si>
  <si>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</si>
  <si>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</si>
  <si>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</si>
  <si>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</si>
  <si>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</si>
  <si>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</si>
  <si>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</si>
  <si>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</si>
  <si>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</si>
  <si>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</si>
  <si>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</si>
  <si>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</si>
  <si>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</si>
  <si>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</si>
  <si>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</si>
  <si>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</si>
  <si>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</si>
  <si>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</si>
  <si>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</si>
  <si>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</si>
  <si>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</si>
  <si>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</si>
  <si>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</si>
  <si>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</si>
  <si>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</si>
  <si>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</si>
  <si>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</si>
  <si>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</si>
  <si>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</si>
  <si>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</si>
  <si>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</si>
  <si>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</si>
  <si>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</si>
  <si>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</si>
  <si>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</si>
  <si>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</si>
  <si>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</si>
  <si>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</si>
  <si>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</si>
  <si>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</si>
  <si>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</si>
  <si>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</si>
  <si>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</si>
  <si>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</si>
  <si>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</si>
  <si>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</si>
  <si>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</si>
  <si>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</si>
  <si>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</si>
  <si>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</si>
  <si>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</si>
  <si>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</si>
  <si>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</si>
  <si>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</si>
  <si>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</si>
  <si>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</si>
  <si>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</si>
  <si>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</si>
  <si>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</si>
  <si>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</si>
  <si>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</si>
  <si>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</si>
  <si>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</si>
  <si>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</si>
  <si>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</si>
  <si>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</si>
  <si>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</si>
  <si>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</si>
  <si>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</si>
  <si>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</si>
  <si>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</si>
  <si>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</si>
  <si>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</si>
  <si>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</si>
  <si>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</si>
  <si>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</si>
  <si>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</si>
  <si>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</si>
  <si>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</si>
  <si>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</si>
  <si>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</si>
  <si>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</si>
  <si>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</si>
  <si>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</si>
  <si>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</si>
  <si>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</si>
  <si>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</si>
  <si>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</si>
  <si>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</si>
  <si>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</si>
  <si>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</si>
  <si>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</si>
  <si>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</si>
  <si>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</si>
  <si>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</si>
  <si>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</si>
  <si>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</si>
  <si>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</si>
  <si>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</si>
  <si>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</si>
  <si>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</si>
  <si>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</si>
  <si>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</si>
  <si>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</si>
  <si>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</si>
  <si>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</si>
  <si>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</si>
  <si>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</si>
  <si>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</si>
  <si>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</si>
  <si>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</si>
  <si>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</si>
  <si>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</si>
  <si>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</si>
  <si>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</si>
  <si>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</si>
  <si>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</si>
  <si>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</si>
  <si>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</si>
  <si>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</si>
  <si>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</si>
  <si>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</si>
  <si>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</si>
  <si>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</si>
  <si>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</si>
  <si>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</si>
  <si>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</si>
  <si>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</si>
  <si>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</si>
  <si>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</si>
  <si>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</si>
  <si>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</si>
  <si>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</si>
  <si>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</si>
  <si>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</si>
  <si>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</si>
  <si>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</si>
  <si>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</si>
  <si>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</si>
  <si>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</si>
  <si>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</si>
  <si>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</si>
  <si>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</si>
  <si>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</si>
  <si>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</si>
  <si>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</si>
  <si>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</si>
  <si>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</si>
  <si>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</si>
  <si>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</si>
  <si>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</si>
  <si>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</si>
  <si>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</si>
  <si>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</si>
  <si>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</si>
  <si>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</si>
  <si>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</si>
  <si>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</si>
  <si>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</si>
  <si>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</si>
  <si>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</si>
  <si>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</si>
  <si>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</si>
  <si>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</si>
  <si>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</si>
  <si>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</si>
  <si>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</si>
  <si>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</si>
  <si>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</si>
  <si>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</si>
  <si>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</si>
  <si>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</si>
  <si>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</si>
  <si>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</si>
  <si>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</si>
  <si>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</si>
  <si>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</si>
  <si>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</si>
  <si>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</si>
  <si>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</si>
  <si>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</si>
  <si>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</si>
  <si>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</si>
  <si>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</si>
  <si>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</si>
  <si>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</si>
  <si>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</si>
  <si>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</si>
  <si>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</si>
  <si>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</si>
  <si>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</si>
  <si>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</si>
  <si>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</si>
  <si>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</si>
  <si>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</si>
  <si>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</si>
  <si>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</si>
  <si>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</si>
  <si>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</si>
  <si>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</si>
  <si>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</si>
  <si>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</si>
  <si>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</si>
  <si>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</si>
  <si>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</si>
  <si>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</si>
  <si>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</si>
  <si>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</si>
  <si>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</si>
  <si>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</si>
  <si>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</si>
  <si>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</si>
  <si>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</si>
  <si>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</si>
  <si>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</si>
  <si>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</si>
  <si>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</si>
  <si>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</si>
  <si>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</si>
  <si>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</si>
  <si>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</si>
  <si>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</si>
  <si>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</si>
  <si>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</si>
  <si>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</si>
  <si>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</si>
  <si>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</si>
  <si>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</si>
  <si>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</si>
  <si>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</si>
  <si>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</si>
  <si>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</si>
  <si>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</si>
  <si>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</si>
  <si>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</si>
  <si>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</si>
  <si>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</si>
  <si>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</si>
  <si>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</si>
  <si>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</si>
  <si>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</si>
  <si>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</si>
  <si>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</si>
  <si>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</si>
  <si>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</si>
  <si>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</si>
  <si>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</si>
  <si>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</si>
  <si>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</si>
  <si>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</si>
  <si>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</si>
  <si>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</si>
  <si>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</si>
  <si>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</si>
  <si>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</si>
  <si>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</si>
  <si>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</si>
  <si>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</si>
  <si>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</si>
  <si>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</si>
  <si>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</si>
  <si>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</si>
  <si>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</si>
  <si>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</si>
  <si>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</si>
  <si>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</si>
  <si>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</si>
  <si>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</si>
  <si>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</si>
  <si>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</si>
  <si>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</si>
  <si>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</si>
  <si>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</si>
  <si>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</si>
  <si>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</si>
  <si>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</si>
  <si>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</si>
  <si>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</si>
  <si>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</si>
  <si>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</si>
  <si>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</si>
  <si>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</si>
  <si>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</si>
  <si>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</si>
  <si>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</si>
  <si>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</si>
  <si>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</si>
  <si>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</si>
  <si>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</si>
  <si>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</si>
  <si>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</si>
  <si>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</si>
  <si>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</si>
  <si>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</si>
  <si>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</si>
  <si>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</si>
  <si>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</si>
  <si>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</si>
  <si>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</si>
  <si>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</si>
  <si>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</si>
  <si>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</si>
  <si>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</si>
  <si>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</si>
  <si>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</si>
  <si>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</si>
  <si>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</si>
  <si>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</si>
  <si>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</si>
  <si>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</si>
  <si>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</si>
  <si>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</si>
  <si>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</si>
  <si>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</si>
  <si>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</si>
  <si>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</si>
  <si>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</si>
  <si>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</si>
  <si>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</si>
  <si>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</si>
  <si>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</si>
  <si>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</si>
  <si>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</si>
  <si>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</si>
  <si>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</si>
  <si>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</si>
  <si>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</si>
  <si>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</si>
  <si>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</si>
  <si>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</si>
  <si>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</si>
  <si>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</si>
  <si>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</si>
  <si>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</si>
  <si>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</si>
  <si>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</si>
  <si>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</si>
  <si>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</si>
  <si>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</si>
  <si>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</si>
  <si>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</si>
  <si>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</si>
  <si>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</si>
  <si>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</si>
  <si>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</si>
  <si>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</si>
  <si>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</si>
  <si>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</si>
  <si>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</si>
  <si>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</si>
  <si>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</si>
  <si>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</si>
  <si>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</si>
  <si>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</si>
  <si>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</si>
  <si>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</si>
  <si>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</si>
  <si>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</si>
  <si>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</si>
  <si>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</si>
  <si>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</si>
  <si>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</si>
  <si>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</si>
  <si>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</si>
  <si>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</si>
  <si>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</si>
  <si>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</si>
  <si>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</si>
  <si>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</si>
  <si>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</si>
  <si>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</si>
  <si>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</si>
  <si>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</si>
  <si>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</si>
  <si>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</si>
  <si>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</si>
  <si>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</si>
  <si>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</si>
  <si>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</si>
  <si>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</si>
  <si>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</si>
  <si>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</si>
  <si>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</si>
  <si>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</si>
  <si>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</si>
  <si>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</si>
  <si>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</si>
  <si>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</si>
  <si>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</si>
  <si>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</si>
  <si>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</si>
  <si>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</si>
  <si>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</si>
  <si>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</si>
  <si>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</si>
  <si>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</si>
  <si>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</si>
  <si>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</si>
  <si>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</si>
  <si>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</si>
  <si>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</si>
  <si>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</si>
  <si>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</si>
  <si>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</si>
  <si>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</si>
  <si>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</si>
  <si>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</si>
  <si>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</si>
  <si>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</si>
  <si>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</si>
  <si>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</si>
  <si>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</si>
  <si>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</si>
  <si>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</si>
  <si>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</si>
  <si>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</si>
  <si>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</si>
  <si>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</si>
  <si>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</si>
  <si>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</si>
  <si>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</si>
  <si>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</si>
  <si>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</si>
  <si>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</si>
  <si>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</si>
  <si>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</si>
  <si>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</si>
  <si>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</si>
  <si>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</si>
  <si>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</si>
  <si>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</si>
  <si>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</si>
  <si>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</si>
  <si>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</si>
  <si>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</si>
  <si>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</si>
  <si>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</si>
  <si>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</si>
  <si>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</si>
  <si>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</si>
  <si>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</si>
  <si>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</si>
  <si>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</si>
  <si>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</si>
  <si>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</si>
  <si>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</si>
  <si>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</si>
  <si>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</si>
  <si>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</si>
  <si>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</si>
  <si>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</si>
  <si>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</si>
  <si>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</si>
  <si>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</si>
  <si>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</si>
  <si>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</si>
  <si>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</si>
  <si>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</si>
  <si>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</si>
  <si>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</si>
  <si>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</si>
  <si>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</si>
  <si>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</si>
  <si>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</si>
  <si>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</si>
  <si>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</si>
  <si>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</si>
  <si>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</si>
  <si>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</si>
  <si>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</si>
  <si>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</si>
  <si>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</si>
  <si>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</si>
  <si>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</si>
  <si>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</si>
  <si>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</si>
  <si>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</si>
  <si>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</si>
  <si>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</si>
  <si>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</si>
  <si>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</si>
  <si>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</si>
  <si>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</si>
  <si>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</si>
  <si>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</si>
  <si>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</si>
  <si>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</si>
  <si>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</si>
  <si>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</si>
  <si>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</si>
  <si>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</si>
  <si>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</si>
  <si>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</si>
  <si>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</si>
  <si>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</si>
  <si>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</si>
  <si>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</si>
  <si>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</si>
  <si>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</si>
  <si>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</si>
  <si>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</si>
  <si>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</si>
  <si>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</si>
  <si>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</si>
  <si>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</si>
  <si>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</si>
  <si>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</si>
  <si>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</si>
  <si>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</si>
  <si>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</si>
  <si>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</si>
  <si>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</si>
  <si>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</si>
  <si>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</si>
  <si>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</si>
  <si>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</si>
  <si>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</si>
  <si>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</si>
  <si>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</si>
  <si>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</si>
  <si>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</si>
  <si>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</si>
  <si>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</si>
  <si>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</si>
  <si>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</si>
  <si>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</si>
  <si>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</si>
  <si>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</si>
  <si>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</si>
  <si>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</si>
  <si>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</si>
  <si>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</si>
  <si>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</si>
  <si>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</si>
  <si>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</si>
  <si>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</si>
  <si>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</si>
  <si>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</si>
  <si>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</si>
  <si>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</si>
  <si>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</si>
  <si>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</si>
  <si>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</si>
  <si>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</si>
  <si>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</si>
  <si>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</si>
  <si>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</si>
  <si>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</si>
  <si>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</si>
  <si>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</si>
  <si>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</si>
  <si>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</si>
  <si>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</si>
  <si>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</si>
  <si>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</si>
  <si>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</si>
  <si>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</si>
  <si>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</si>
  <si>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</si>
  <si>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</si>
  <si>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</si>
  <si>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</si>
  <si>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</si>
  <si>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</si>
  <si>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</si>
  <si>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</si>
  <si>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</si>
  <si>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</si>
  <si>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</si>
  <si>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</si>
  <si>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</si>
  <si>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</si>
  <si>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</si>
  <si>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</si>
  <si>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</si>
  <si>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</si>
  <si>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</si>
  <si>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</si>
  <si>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</si>
  <si>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</si>
  <si>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</si>
  <si>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</si>
  <si>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</si>
  <si>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</si>
  <si>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</si>
  <si>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</si>
  <si>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</si>
  <si>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</si>
  <si>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</si>
  <si>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</si>
  <si>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</si>
  <si>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</si>
  <si>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</si>
  <si>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</si>
  <si>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</si>
  <si>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</si>
  <si>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</si>
  <si>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</si>
  <si>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</si>
  <si>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</si>
  <si>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</si>
  <si>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</si>
  <si>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</si>
  <si>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</si>
  <si>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</si>
  <si>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</si>
  <si>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</si>
  <si>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</si>
  <si>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</si>
  <si>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</si>
  <si>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</si>
  <si>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</si>
  <si>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</si>
  <si>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</si>
  <si>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</si>
  <si>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</si>
  <si>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</si>
  <si>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</si>
  <si>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</si>
  <si>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</si>
  <si>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</si>
  <si>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</si>
  <si>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</si>
  <si>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</si>
  <si>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</si>
  <si>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</si>
  <si>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</si>
  <si>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</si>
  <si>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</si>
  <si>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</si>
  <si>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</si>
  <si>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</si>
  <si>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</si>
  <si>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</si>
  <si>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</si>
  <si>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</si>
  <si>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</si>
  <si>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</si>
  <si>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</si>
  <si>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</si>
  <si>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</si>
  <si>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</si>
  <si>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</si>
  <si>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</si>
  <si>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</si>
  <si>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</si>
  <si>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</si>
  <si>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</si>
  <si>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</si>
  <si>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</si>
  <si>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</si>
  <si>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</si>
  <si>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</si>
  <si>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</si>
  <si>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</si>
  <si>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</si>
  <si>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</si>
  <si>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</si>
  <si>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</si>
  <si>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</si>
  <si>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</si>
  <si>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</si>
  <si>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</si>
  <si>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</si>
  <si>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</si>
  <si>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</si>
  <si>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</si>
  <si>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</si>
  <si>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</si>
  <si>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</si>
  <si>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</si>
  <si>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</si>
  <si>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</si>
  <si>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</si>
  <si>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</si>
  <si>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</si>
  <si>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</si>
  <si>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</si>
  <si>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</si>
  <si>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</si>
  <si>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</si>
  <si>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</si>
  <si>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</si>
  <si>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</si>
  <si>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</si>
  <si>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</si>
  <si>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</si>
  <si>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</si>
  <si>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</si>
  <si>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</si>
  <si>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</si>
  <si>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</si>
  <si>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</si>
  <si>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</si>
  <si>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</si>
  <si>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</si>
  <si>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</si>
  <si>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</si>
  <si>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</si>
  <si>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</si>
  <si>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</si>
  <si>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</si>
  <si>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</si>
  <si>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</si>
  <si>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</si>
  <si>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</si>
  <si>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</si>
  <si>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</si>
  <si>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</si>
  <si>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</si>
  <si>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</si>
  <si>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</si>
  <si>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</si>
  <si>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</si>
  <si>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</si>
  <si>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</si>
  <si>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</si>
  <si>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</si>
  <si>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</si>
  <si>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</si>
  <si>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</si>
  <si>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</si>
  <si>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</si>
  <si>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</si>
  <si>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</si>
  <si>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</si>
  <si>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</si>
  <si>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</si>
  <si>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</si>
  <si>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</si>
  <si>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</si>
  <si>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</si>
  <si>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</si>
  <si>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</si>
  <si>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</si>
  <si>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</si>
  <si>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</si>
  <si>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</si>
  <si>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</si>
  <si>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</si>
  <si>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</si>
  <si>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</si>
  <si>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</si>
  <si>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</si>
  <si>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</si>
  <si>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</si>
  <si>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</si>
  <si>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</si>
  <si>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</si>
  <si>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</si>
  <si>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</si>
  <si>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</si>
  <si>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</si>
  <si>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</si>
  <si>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</si>
  <si>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</si>
  <si>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</si>
  <si>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</si>
  <si>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</si>
  <si>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</si>
  <si>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</si>
  <si>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</si>
  <si>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</si>
  <si>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</si>
  <si>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</si>
  <si>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</si>
  <si>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</si>
  <si>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</si>
  <si>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</si>
  <si>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</si>
  <si>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</si>
  <si>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</si>
  <si>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</si>
  <si>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</si>
  <si>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</si>
  <si>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</si>
  <si>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</si>
  <si>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</si>
  <si>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</si>
  <si>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</si>
  <si>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</si>
  <si>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</si>
  <si>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</si>
  <si>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</si>
  <si>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</si>
  <si>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</si>
  <si>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</si>
  <si>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</si>
  <si>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</si>
  <si>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</si>
  <si>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</si>
  <si>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</si>
  <si>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</si>
  <si>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</si>
  <si>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</si>
  <si>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</si>
  <si>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</si>
  <si>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</si>
  <si>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</si>
  <si>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</si>
  <si>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</si>
  <si>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</si>
  <si>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</si>
  <si>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</si>
  <si>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</si>
  <si>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</si>
  <si>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</si>
  <si>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</si>
  <si>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</si>
  <si>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</si>
  <si>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</si>
  <si>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</si>
  <si>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</si>
  <si>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</si>
  <si>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</si>
  <si>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</si>
  <si>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</si>
  <si>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</si>
  <si>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</si>
  <si>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</si>
  <si>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</si>
  <si>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</si>
  <si>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</si>
  <si>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</si>
  <si>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</si>
  <si>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</si>
  <si>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</si>
  <si>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</si>
  <si>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</si>
  <si>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</si>
  <si>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</si>
  <si>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</si>
  <si>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</si>
  <si>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</si>
  <si>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</si>
  <si>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</si>
  <si>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</si>
  <si>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</si>
  <si>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</si>
  <si>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</si>
  <si>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</si>
  <si>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</si>
  <si>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</si>
  <si>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</si>
  <si>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</si>
  <si>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</si>
  <si>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</si>
  <si>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</si>
  <si>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</si>
  <si>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</si>
  <si>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</si>
  <si>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</si>
  <si>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</si>
  <si>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</si>
  <si>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</si>
  <si>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</si>
  <si>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</si>
  <si>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</si>
  <si>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</si>
  <si>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</si>
  <si>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</si>
  <si>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</si>
  <si>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</si>
  <si>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</si>
  <si>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</si>
  <si>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</si>
  <si>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</si>
  <si>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</si>
  <si>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</si>
  <si>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</si>
  <si>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</si>
  <si>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</si>
  <si>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</si>
  <si>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</si>
  <si>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</si>
  <si>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</si>
  <si>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</si>
  <si>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</si>
  <si>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</si>
  <si>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</si>
  <si>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</si>
  <si>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</si>
  <si>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</si>
  <si>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</si>
  <si>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</si>
  <si>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</si>
  <si>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</si>
  <si>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</si>
  <si>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</si>
  <si>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</si>
  <si>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</si>
  <si>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</si>
  <si>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</si>
  <si>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</si>
  <si>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</si>
  <si>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</si>
  <si>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</si>
  <si>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</si>
  <si>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</si>
  <si>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</si>
  <si>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</si>
  <si>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</si>
  <si>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</si>
  <si>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</si>
  <si>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</si>
  <si>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</si>
  <si>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</si>
  <si>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</si>
  <si>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</si>
  <si>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</si>
  <si>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</si>
  <si>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</si>
  <si>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</si>
  <si>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</si>
  <si>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</si>
  <si>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</si>
  <si>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</si>
  <si>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</si>
  <si>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</si>
  <si>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</si>
  <si>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</si>
  <si>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</si>
  <si>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</si>
  <si>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</si>
  <si>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</si>
  <si>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</si>
  <si>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</si>
  <si>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</si>
  <si>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</si>
  <si>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</si>
  <si>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</si>
  <si>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</si>
  <si>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</si>
  <si>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</si>
  <si>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</si>
  <si>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</si>
  <si>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</si>
  <si>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</si>
  <si>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</si>
  <si>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</si>
  <si>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</si>
  <si>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</si>
  <si>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</si>
  <si>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</si>
  <si>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</si>
  <si>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</si>
  <si>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</si>
  <si>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</si>
  <si>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</si>
  <si>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</si>
  <si>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</si>
  <si>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</si>
  <si>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</si>
  <si>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</si>
  <si>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</si>
  <si>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</si>
  <si>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</si>
  <si>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</si>
  <si>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</si>
  <si>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</si>
  <si>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</si>
  <si>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</si>
  <si>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</si>
  <si>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</si>
  <si>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</si>
  <si>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</si>
  <si>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</si>
  <si>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</si>
  <si>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</si>
  <si>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</si>
  <si>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</si>
  <si>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</si>
  <si>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</si>
  <si>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</si>
  <si>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</si>
  <si>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</si>
  <si>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</si>
  <si>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</si>
  <si>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</si>
  <si>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</si>
  <si>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</si>
  <si>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</si>
  <si>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</si>
  <si>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</si>
  <si>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</si>
  <si>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</si>
  <si>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</si>
  <si>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</si>
  <si>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</si>
  <si>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</si>
  <si>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</si>
  <si>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</si>
  <si>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</si>
  <si>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</si>
  <si>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</si>
  <si>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</si>
  <si>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</si>
  <si>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</si>
  <si>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</si>
  <si>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</si>
  <si>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</si>
  <si>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</si>
  <si>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</si>
  <si>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</si>
  <si>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</si>
  <si>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</si>
  <si>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</si>
  <si>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</si>
  <si>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</si>
  <si>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</si>
  <si>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</si>
  <si>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</si>
  <si>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</si>
  <si>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</si>
  <si>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</si>
  <si>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</si>
  <si>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</si>
  <si>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</si>
  <si>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</si>
  <si>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</si>
  <si>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</si>
  <si>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</si>
  <si>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</si>
  <si>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</si>
  <si>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</si>
  <si>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</si>
  <si>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</si>
  <si>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</si>
  <si>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</si>
  <si>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</si>
  <si>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</si>
  <si>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</si>
  <si>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</si>
  <si>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</si>
  <si>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</si>
  <si>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</si>
  <si>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</si>
  <si>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</si>
  <si>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</si>
  <si>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</si>
  <si>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</si>
  <si>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</si>
  <si>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</si>
  <si>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</si>
  <si>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</si>
  <si>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</si>
  <si>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</si>
  <si>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</si>
  <si>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</si>
  <si>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</si>
  <si>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</si>
  <si>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</si>
  <si>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</si>
  <si>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</si>
  <si>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</si>
  <si>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</si>
  <si>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</si>
  <si>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</si>
  <si>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</si>
  <si>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</si>
  <si>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</si>
  <si>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</si>
  <si>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</si>
  <si>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</si>
  <si>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</si>
  <si>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</si>
  <si>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</si>
  <si>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</si>
  <si>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</si>
  <si>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</si>
  <si>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</si>
  <si>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</si>
  <si>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</si>
  <si>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</si>
  <si>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</si>
  <si>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</si>
  <si>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</si>
  <si>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</si>
  <si>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</si>
  <si>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</si>
  <si>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</si>
  <si>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</si>
  <si>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</si>
  <si>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</si>
  <si>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</si>
  <si>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</si>
  <si>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</si>
  <si>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</si>
  <si>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</si>
  <si>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</si>
  <si>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</si>
  <si>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</si>
  <si>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</si>
  <si>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</si>
  <si>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</si>
  <si>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</si>
  <si>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</si>
  <si>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</si>
  <si>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</si>
  <si>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</si>
  <si>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</si>
  <si>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</si>
  <si>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</si>
  <si>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</si>
  <si>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</si>
  <si>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</si>
  <si>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</si>
  <si>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</si>
  <si>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</si>
  <si>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</si>
  <si>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</si>
  <si>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</si>
  <si>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</si>
  <si>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</si>
  <si>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</si>
  <si>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</si>
  <si>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</si>
  <si>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</si>
  <si>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</si>
  <si>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</si>
  <si>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</si>
  <si>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</si>
  <si>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</si>
  <si>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</si>
  <si>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</si>
  <si>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</si>
  <si>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</si>
  <si>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</si>
  <si>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</si>
  <si>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</si>
  <si>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</si>
  <si>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</si>
  <si>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</si>
  <si>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</si>
  <si>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</si>
  <si>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</si>
  <si>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</si>
  <si>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</si>
  <si>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</si>
  <si>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</si>
  <si>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</si>
  <si>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</si>
  <si>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</si>
  <si>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</si>
  <si>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</si>
  <si>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</si>
  <si>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</si>
  <si>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</si>
  <si>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</si>
  <si>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</si>
  <si>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</si>
  <si>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</si>
  <si>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</si>
  <si>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</si>
  <si>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</si>
  <si>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</si>
  <si>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</si>
  <si>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</si>
  <si>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</si>
  <si>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</si>
  <si>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</si>
  <si>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</si>
  <si>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</si>
  <si>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</si>
  <si>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</si>
  <si>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</si>
  <si>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</si>
  <si>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</si>
  <si>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</si>
  <si>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</si>
  <si>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</si>
  <si>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</si>
  <si>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</si>
  <si>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</si>
  <si>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</si>
  <si>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</si>
  <si>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</si>
  <si>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</si>
  <si>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</si>
  <si>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</si>
  <si>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</si>
  <si>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</si>
  <si>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</si>
  <si>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</si>
  <si>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</si>
  <si>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</si>
  <si>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</si>
  <si>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</si>
  <si>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</si>
  <si>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</si>
  <si>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</si>
  <si>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</si>
  <si>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</si>
  <si>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</si>
  <si>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</si>
  <si>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</si>
  <si>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</si>
  <si>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</si>
  <si>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</si>
  <si>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</si>
  <si>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</si>
  <si>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</si>
  <si>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</si>
  <si>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</si>
  <si>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</si>
  <si>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</si>
  <si>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</si>
  <si>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</si>
  <si>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</si>
  <si>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</si>
  <si>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</si>
  <si>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</si>
  <si>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</si>
  <si>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</si>
  <si>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</si>
  <si>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</si>
  <si>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</si>
  <si>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</si>
  <si>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</si>
  <si>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</si>
  <si>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</si>
  <si>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</si>
  <si>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</si>
  <si>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</si>
  <si>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</si>
  <si>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</si>
  <si>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</si>
  <si>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</si>
  <si>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</si>
  <si>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</si>
  <si>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</si>
  <si>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</si>
  <si>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</si>
  <si>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</si>
  <si>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</si>
  <si>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</si>
  <si>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</si>
  <si>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</si>
  <si>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</si>
  <si>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</si>
  <si>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</si>
  <si>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</si>
  <si>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</si>
  <si>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</si>
  <si>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</si>
  <si>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</si>
  <si>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</si>
  <si>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</si>
  <si>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</si>
  <si>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</si>
  <si>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</si>
  <si>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</si>
  <si>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</si>
  <si>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</si>
  <si>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</si>
  <si>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</si>
  <si>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</si>
  <si>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</si>
  <si>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</si>
  <si>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</si>
  <si>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</si>
  <si>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</si>
  <si>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</si>
  <si>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</si>
  <si>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</si>
  <si>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</si>
  <si>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</si>
  <si>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</si>
  <si>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</si>
  <si>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</si>
  <si>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</si>
  <si>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</si>
  <si>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</si>
  <si>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</si>
  <si>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</si>
  <si>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</si>
  <si>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</si>
  <si>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</si>
  <si>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</si>
  <si>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</si>
  <si>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</si>
  <si>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</si>
  <si>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</si>
  <si>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</si>
  <si>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</si>
  <si>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</si>
  <si>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</si>
  <si>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</si>
  <si>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</si>
  <si>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</si>
  <si>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</si>
  <si>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</si>
  <si>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</si>
  <si>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</si>
  <si>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</si>
  <si>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</si>
  <si>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</si>
  <si>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</si>
  <si>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</si>
  <si>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</si>
  <si>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</si>
  <si>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</si>
  <si>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</si>
  <si>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</si>
  <si>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</si>
  <si>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</si>
  <si>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</si>
  <si>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</si>
  <si>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</si>
  <si>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</si>
  <si>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</si>
  <si>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</si>
  <si>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</si>
  <si>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</si>
  <si>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</si>
  <si>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</si>
  <si>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</si>
  <si>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</si>
  <si>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</si>
  <si>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</si>
  <si>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</si>
  <si>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</si>
  <si>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</si>
  <si>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</si>
  <si>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</si>
  <si>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</si>
  <si>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</si>
  <si>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</si>
  <si>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</si>
  <si>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</si>
  <si>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</si>
  <si>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</si>
  <si>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</si>
  <si>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</si>
  <si>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</si>
  <si>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</si>
  <si>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</si>
  <si>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</si>
  <si>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</si>
  <si>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</si>
  <si>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</si>
  <si>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</si>
  <si>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</si>
  <si>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</si>
  <si>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</si>
  <si>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</si>
  <si>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</si>
  <si>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</si>
  <si>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</si>
  <si>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</si>
  <si>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</si>
  <si>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</si>
  <si>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</si>
  <si>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</si>
  <si>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</si>
  <si>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</si>
  <si>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</si>
  <si>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</si>
  <si>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</si>
  <si>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</si>
  <si>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</si>
  <si>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</si>
  <si>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</si>
  <si>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</si>
  <si>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</si>
  <si>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</si>
  <si>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</si>
  <si>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</si>
  <si>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</si>
  <si>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</si>
  <si>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</si>
  <si>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</si>
  <si>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</si>
  <si>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</si>
  <si>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</si>
  <si>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</si>
  <si>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</si>
  <si>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</si>
  <si>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</si>
  <si>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</si>
  <si>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</si>
  <si>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</si>
  <si>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</si>
  <si>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</si>
  <si>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</si>
  <si>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</si>
  <si>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</si>
  <si>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</si>
  <si>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</si>
  <si>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</si>
  <si>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</si>
  <si>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</si>
  <si>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</si>
  <si>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</si>
  <si>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</si>
  <si>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</si>
  <si>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</si>
  <si>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</si>
  <si>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</si>
  <si>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</si>
  <si>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</si>
  <si>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</si>
  <si>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</si>
  <si>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</si>
  <si>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</si>
  <si>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</si>
  <si>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</si>
  <si>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</si>
  <si>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</si>
  <si>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</si>
  <si>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</si>
  <si>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</si>
  <si>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</si>
  <si>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</si>
  <si>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</si>
  <si>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</si>
  <si>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</si>
  <si>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</si>
  <si>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</si>
  <si>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</si>
  <si>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</si>
  <si>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</si>
  <si>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</si>
  <si>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</si>
  <si>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</si>
  <si>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</si>
  <si>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</si>
  <si>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</si>
  <si>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</si>
  <si>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</si>
  <si>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</si>
  <si>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</si>
  <si>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</si>
  <si>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</si>
  <si>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</si>
  <si>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</si>
  <si>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</si>
  <si>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</si>
  <si>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</si>
  <si>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</si>
  <si>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</si>
  <si>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</si>
  <si>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</si>
  <si>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</si>
  <si>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</si>
  <si>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</si>
  <si>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</si>
  <si>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</si>
  <si>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</si>
  <si>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</si>
  <si>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</si>
  <si>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</si>
  <si>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</si>
  <si>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</si>
  <si>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</si>
  <si>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</si>
  <si>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</si>
  <si>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</si>
  <si>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</si>
  <si>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</si>
  <si>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</si>
  <si>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</si>
  <si>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</si>
  <si>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</si>
  <si>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</si>
  <si>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</si>
  <si>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</si>
  <si>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</si>
  <si>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</si>
  <si>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</si>
  <si>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</si>
  <si>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</si>
  <si>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</si>
  <si>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</si>
  <si>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</si>
  <si>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</si>
  <si>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</si>
  <si>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</si>
  <si>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</si>
  <si>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</si>
  <si>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</si>
  <si>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</si>
  <si>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</si>
  <si>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</si>
  <si>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</si>
  <si>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</si>
  <si>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</si>
  <si>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</si>
  <si>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</si>
  <si>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</si>
  <si>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</si>
  <si>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</si>
  <si>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</si>
  <si>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</si>
  <si>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</si>
  <si>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</si>
  <si>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</si>
  <si>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</si>
  <si>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</si>
  <si>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</si>
  <si>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APS Venice LP</t>
  </si>
  <si>
    <t>Adda and Paul Safran Senior Housing</t>
  </si>
  <si>
    <t>Timothy Elliott</t>
  </si>
  <si>
    <t>1200 W. 7th Street, 8th Floor</t>
  </si>
  <si>
    <t>(213) 808-8910</t>
  </si>
  <si>
    <t>timothy.elliott@lacity.org</t>
  </si>
  <si>
    <t xml:space="preserve">151 Ocean Front Walk </t>
  </si>
  <si>
    <t>Venice</t>
  </si>
  <si>
    <t>4286-030-020</t>
  </si>
  <si>
    <t>40%/60%</t>
  </si>
  <si>
    <t>1900 Huntington Drive</t>
  </si>
  <si>
    <t>Duarte</t>
  </si>
  <si>
    <t>CA</t>
  </si>
  <si>
    <t xml:space="preserve">Orest Dolyniuk </t>
  </si>
  <si>
    <t>818-259-7568</t>
  </si>
  <si>
    <t>OrestD@beacondevgroup.com</t>
  </si>
  <si>
    <t>HumanGood Affordable Housing</t>
  </si>
  <si>
    <t>Mountain Park Terrace, Inc.</t>
  </si>
  <si>
    <t>Managing GP</t>
  </si>
  <si>
    <t>Mary Grace Crisostomo</t>
  </si>
  <si>
    <t>925-924-7102</t>
  </si>
  <si>
    <t>MaryGrace.Crisostomo@HumanGood.org</t>
  </si>
  <si>
    <t>Orest Dolyniuk</t>
  </si>
  <si>
    <t>Developer</t>
  </si>
  <si>
    <t>D33 Design &amp; Planning</t>
  </si>
  <si>
    <t>31866 Camino Capistrano</t>
  </si>
  <si>
    <t>Duarte, CA 91010</t>
  </si>
  <si>
    <t>San Juan Capistrano, CA   92675</t>
  </si>
  <si>
    <t>Brian Weller</t>
  </si>
  <si>
    <t>bweller@d33design.com</t>
  </si>
  <si>
    <t>Goldfarb &amp; Lipman</t>
  </si>
  <si>
    <t>1300 Clay Street 11th Floor</t>
  </si>
  <si>
    <t>Oakland, CA 94612</t>
  </si>
  <si>
    <t>William DiCamillo</t>
  </si>
  <si>
    <t>Walton Construction</t>
  </si>
  <si>
    <t>358 . Foothill Blvd.</t>
  </si>
  <si>
    <t>San Dimas, CA  91773</t>
  </si>
  <si>
    <t>Tim Norris</t>
  </si>
  <si>
    <t>510-433-6602</t>
  </si>
  <si>
    <t>wdicamillo@goldfarblipman.com</t>
  </si>
  <si>
    <t>tnorris@waltonci.com</t>
  </si>
  <si>
    <t>Dauby O'Connor &amp; Zaleski, LLC</t>
  </si>
  <si>
    <t>591 Congressional Blvd</t>
  </si>
  <si>
    <t>Carmel, IN 46032</t>
  </si>
  <si>
    <t>Kenny Dennison</t>
  </si>
  <si>
    <t>Partner Energy</t>
  </si>
  <si>
    <t>2154 Torrance Blvd</t>
  </si>
  <si>
    <t>Torrance, CA  90501</t>
  </si>
  <si>
    <t>Drew McCreery</t>
  </si>
  <si>
    <t>317-819-6173</t>
  </si>
  <si>
    <t xml:space="preserve">(310) 774-3165 </t>
  </si>
  <si>
    <t>kdennison@dozllc.com</t>
  </si>
  <si>
    <t>dmccreery@partneresi.com</t>
  </si>
  <si>
    <t>TBD</t>
  </si>
  <si>
    <t>California Housing Partnership</t>
  </si>
  <si>
    <t>Sherin Bennett</t>
  </si>
  <si>
    <t>sbennett@chpc.net</t>
  </si>
  <si>
    <t>Novogradac</t>
  </si>
  <si>
    <t>1160 Battery Street, Suite 225</t>
  </si>
  <si>
    <t>San Francisco, CA 94111</t>
  </si>
  <si>
    <t>Rachel Denton</t>
  </si>
  <si>
    <t>913-677-4600</t>
  </si>
  <si>
    <t>913-677-4601</t>
  </si>
  <si>
    <t>Rachel.Denton@novoco.com</t>
  </si>
  <si>
    <t>Partner Engineering &amp; Science</t>
  </si>
  <si>
    <t>1910 Sunset Blvd., Suite 300</t>
  </si>
  <si>
    <t>Los Angeles, CA  90026</t>
  </si>
  <si>
    <t>Steven Brady</t>
  </si>
  <si>
    <t>steven.brady@lacity.org</t>
  </si>
  <si>
    <t>Kendra Roberts, VP of Operations</t>
  </si>
  <si>
    <t>925-924-7182</t>
  </si>
  <si>
    <t>Kendra.Roberts@HumanGood.org</t>
  </si>
  <si>
    <t>Appraisal</t>
  </si>
  <si>
    <t>21 years</t>
  </si>
  <si>
    <t>Low Income Senior Housing multifamily building</t>
  </si>
  <si>
    <t>Venice Senior Housing Corporation</t>
  </si>
  <si>
    <t>Jennifer Kappen</t>
  </si>
  <si>
    <t>Senior Vice President</t>
  </si>
  <si>
    <t>1900 Huntington Drive, Duarte CA  91010</t>
  </si>
  <si>
    <t>Inner City Infill Site</t>
  </si>
  <si>
    <t xml:space="preserve">The entire buiilding is senior restricted (63 units).   12 of the 63 units </t>
  </si>
  <si>
    <t xml:space="preserve"> have ADA and Accessibiity features.</t>
  </si>
  <si>
    <t>Limited Commercial</t>
  </si>
  <si>
    <t>(Q)R3-1; Density per existing variance and project permit.</t>
  </si>
  <si>
    <t>No Change Proposed</t>
  </si>
  <si>
    <t>Conditions of existing variance and project permit requires the site to be maintaned as affordable housing</t>
  </si>
  <si>
    <t>Per variance and project permit</t>
  </si>
  <si>
    <t>Citibank</t>
  </si>
  <si>
    <t>Seller Note Accrued Interest</t>
  </si>
  <si>
    <t>Assumption of City of LA Loan</t>
  </si>
  <si>
    <t>Assumed City of LA Loan Accrued Interest</t>
  </si>
  <si>
    <t>Existing Reserves</t>
  </si>
  <si>
    <t>Tax Credit Equity</t>
  </si>
  <si>
    <t>Costs defered until Conversion</t>
  </si>
  <si>
    <t>Variable</t>
  </si>
  <si>
    <t>Fixed</t>
  </si>
  <si>
    <t>300 South Grand Avenue, Suite 3110</t>
  </si>
  <si>
    <t>Los Angeles, CA  90071</t>
  </si>
  <si>
    <t>Hao LI</t>
  </si>
  <si>
    <t>Draw Down Tax Exempt Construction</t>
  </si>
  <si>
    <t>SOFR</t>
  </si>
  <si>
    <t>Duarte CA  91010</t>
  </si>
  <si>
    <t>Beth Burke</t>
  </si>
  <si>
    <t>Seller Note - Residual Receipts</t>
  </si>
  <si>
    <t>1910 Sunset Boulevard, Suite 300</t>
  </si>
  <si>
    <t>Residual Receipts</t>
  </si>
  <si>
    <t>Deferred Fee</t>
  </si>
  <si>
    <t>Deferred Costs</t>
  </si>
  <si>
    <t>Seller Note</t>
  </si>
  <si>
    <t>NOI</t>
  </si>
  <si>
    <t>CMF Funds</t>
  </si>
  <si>
    <t>Hao Li</t>
  </si>
  <si>
    <t xml:space="preserve"> Tax Exempt Permanet Loan</t>
  </si>
  <si>
    <t>Sponsor Note - Residual Receipts</t>
  </si>
  <si>
    <t>Net Operating Income durring Construction</t>
  </si>
  <si>
    <t>Misc. Expenses</t>
  </si>
  <si>
    <t>Contracts/Supplies</t>
  </si>
  <si>
    <t>May 1 2025</t>
  </si>
  <si>
    <t>HUD</t>
  </si>
  <si>
    <t>Other: (Payment &amp; Performance Bond)</t>
  </si>
  <si>
    <t>Other: (Bank Construction Inspections &amp;Third Party Reports)</t>
  </si>
  <si>
    <t>Other: (Applicant Legal, Including HUD Counsel)</t>
  </si>
  <si>
    <t>Other: (Labor/Wage Monitoring)</t>
  </si>
  <si>
    <t>Other: (Document Transfer Tax)</t>
  </si>
  <si>
    <t>Other: (Accrued Interest - Seller and LAHD Loan))</t>
  </si>
  <si>
    <t>1 bedroom</t>
  </si>
  <si>
    <t>Other (Annual Issuer and Trustee Fee City of LA):</t>
  </si>
  <si>
    <t>415-433-6804</t>
  </si>
  <si>
    <t>49 Stevenson Street, Suite 500</t>
  </si>
  <si>
    <t>San Francisco, CA 94105</t>
  </si>
  <si>
    <t>Seller Note #2</t>
  </si>
  <si>
    <t>RAD conversion - PBVs</t>
  </si>
  <si>
    <t>Provided</t>
  </si>
  <si>
    <t>Not Applicable</t>
  </si>
  <si>
    <t>Need to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</si>
</sst>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6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16" fillId="5" borderId="4"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166" fontId="16" fillId="5" borderId="6" xfId="0" applyNumberFormat="1" applyFont="1" applyFill="1" applyBorder="1" applyAlignment="1" applyProtection="1">
      <alignment horizontal="left"/>
      <protection locked="0"/>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cellXfs>
  <cellStyles count="17166">
    <cellStyle name="20% - Accent1" xfId="1" builtinId="30" customBuiltin="1"/>
    <cellStyle name="20% - Accent1 10" xfId="4504" xr:uid="{00000000-0005-0000-0000-000001000000}"/>
    <cellStyle name="20% - Accent1 10 2" xfId="12951" xr:uid="{880EB1E7-3702-4F73-A557-3919BF70E895}"/>
    <cellStyle name="20% - Accent1 11" xfId="8736" xr:uid="{E054952D-B11B-41DC-B99D-D61B9186221F}"/>
    <cellStyle name="20% - Accent1 2" xfId="2" xr:uid="{00000000-0005-0000-0000-000002000000}"/>
    <cellStyle name="20% - Accent1 2 10" xfId="8737" xr:uid="{E1B4F58E-BFF4-42AB-A64B-7DD296FBAF14}"/>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3" xr:uid="{ADF68A6F-DD74-40E6-9DC3-A59F29791182}"/>
    <cellStyle name="20% - Accent1 2 2 2 2 2 3" xfId="11298" xr:uid="{368304EC-0ABB-4630-A30E-E7823BAE588E}"/>
    <cellStyle name="20% - Accent1 2 2 2 2 3" xfId="4921" xr:uid="{00000000-0005-0000-0000-000008000000}"/>
    <cellStyle name="20% - Accent1 2 2 2 2 3 2" xfId="13368" xr:uid="{84F07872-48AC-4EDC-BECA-1B8863F7CBFE}"/>
    <cellStyle name="20% - Accent1 2 2 2 2 4" xfId="9153" xr:uid="{3D4F5DF3-D657-4275-B194-4C6B1B5CDDA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6" xr:uid="{E438FFB3-C2BC-4C81-B86C-50E4D2252A20}"/>
    <cellStyle name="20% - Accent1 2 2 2 3 2 3" xfId="11711" xr:uid="{528EDA1E-C9DD-4710-BE1E-A0672643AB86}"/>
    <cellStyle name="20% - Accent1 2 2 2 3 3" xfId="5334" xr:uid="{00000000-0005-0000-0000-00000C000000}"/>
    <cellStyle name="20% - Accent1 2 2 2 3 3 2" xfId="13781" xr:uid="{2AF3365D-ACDE-4647-9953-A82910FF9370}"/>
    <cellStyle name="20% - Accent1 2 2 2 3 4" xfId="9566" xr:uid="{27B99386-6113-47B6-BE0A-B3D4FF30CB13}"/>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39" xr:uid="{F6CAE5B0-251E-42C0-8C0D-19757B173610}"/>
    <cellStyle name="20% - Accent1 2 2 2 4 2 3" xfId="12124" xr:uid="{E5C57791-F594-48F6-BF29-FDF0CE71FCD8}"/>
    <cellStyle name="20% - Accent1 2 2 2 4 3" xfId="5747" xr:uid="{00000000-0005-0000-0000-000010000000}"/>
    <cellStyle name="20% - Accent1 2 2 2 4 3 2" xfId="14194" xr:uid="{72B9B43B-F403-4528-BE35-BBABBD418F75}"/>
    <cellStyle name="20% - Accent1 2 2 2 4 4" xfId="9979" xr:uid="{8D2BE014-E4A3-4F42-AA5B-D1325F2CEE6E}"/>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2" xr:uid="{4529C5B9-177D-4143-9AC5-FA8B256E3050}"/>
    <cellStyle name="20% - Accent1 2 2 2 5 2 3" xfId="12537" xr:uid="{17FE9994-3FE4-4151-94FA-37DC2773778A}"/>
    <cellStyle name="20% - Accent1 2 2 2 5 3" xfId="6160" xr:uid="{00000000-0005-0000-0000-000014000000}"/>
    <cellStyle name="20% - Accent1 2 2 2 5 3 2" xfId="14607" xr:uid="{492E7942-473F-4070-8361-BA32D300D5A3}"/>
    <cellStyle name="20% - Accent1 2 2 2 5 4" xfId="10392" xr:uid="{5654DBD3-51B7-41CA-9A5F-97F83BDA83E0}"/>
    <cellStyle name="20% - Accent1 2 2 2 6" xfId="2267" xr:uid="{00000000-0005-0000-0000-000015000000}"/>
    <cellStyle name="20% - Accent1 2 2 2 6 2" xfId="6573" xr:uid="{00000000-0005-0000-0000-000016000000}"/>
    <cellStyle name="20% - Accent1 2 2 2 6 2 2" xfId="15020" xr:uid="{FCC8966B-4D95-484F-BCC5-66FF7EDB9824}"/>
    <cellStyle name="20% - Accent1 2 2 2 6 3" xfId="10805" xr:uid="{EA36AC3C-158A-45AD-8496-D3F12CE22C69}"/>
    <cellStyle name="20% - Accent1 2 2 2 7" xfId="4507" xr:uid="{00000000-0005-0000-0000-000017000000}"/>
    <cellStyle name="20% - Accent1 2 2 2 7 2" xfId="12954" xr:uid="{F2ADEBC0-FAA4-4672-9FB5-3DAB6DFB5336}"/>
    <cellStyle name="20% - Accent1 2 2 2 8" xfId="8739" xr:uid="{218DEC48-746C-4443-BE9C-091921259605}"/>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2" xr:uid="{01D0D4C7-62FE-41BC-9100-24EEDA2F3B19}"/>
    <cellStyle name="20% - Accent1 2 2 3 2 3" xfId="11297" xr:uid="{63135CE6-3D6A-4029-8721-7551BF6C0BEC}"/>
    <cellStyle name="20% - Accent1 2 2 3 3" xfId="4920" xr:uid="{00000000-0005-0000-0000-00001B000000}"/>
    <cellStyle name="20% - Accent1 2 2 3 3 2" xfId="13367" xr:uid="{9C7DAA01-031D-46B9-B52B-5FD736C56680}"/>
    <cellStyle name="20% - Accent1 2 2 3 4" xfId="9152" xr:uid="{E7A489C6-F496-486F-A50E-40958C2DD945}"/>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5" xr:uid="{7A545D2D-655E-404C-B281-54AE43C27E20}"/>
    <cellStyle name="20% - Accent1 2 2 4 2 3" xfId="11710" xr:uid="{98093B42-1F66-4B76-8CDD-AC05C4853CC0}"/>
    <cellStyle name="20% - Accent1 2 2 4 3" xfId="5333" xr:uid="{00000000-0005-0000-0000-00001F000000}"/>
    <cellStyle name="20% - Accent1 2 2 4 3 2" xfId="13780" xr:uid="{7FF950C1-C768-4CAD-8665-B4D811FB412E}"/>
    <cellStyle name="20% - Accent1 2 2 4 4" xfId="9565" xr:uid="{1A787BA4-2AF5-4E89-8E03-334F6C284943}"/>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38" xr:uid="{90ADFD08-6136-47AC-ACE3-3076A1D51FAD}"/>
    <cellStyle name="20% - Accent1 2 2 5 2 3" xfId="12123" xr:uid="{9A061EC8-56C5-4321-8956-6EC9843784EC}"/>
    <cellStyle name="20% - Accent1 2 2 5 3" xfId="5746" xr:uid="{00000000-0005-0000-0000-000023000000}"/>
    <cellStyle name="20% - Accent1 2 2 5 3 2" xfId="14193" xr:uid="{A7C91D54-7577-4F02-91D9-B65BB2F0C134}"/>
    <cellStyle name="20% - Accent1 2 2 5 4" xfId="9978" xr:uid="{B1BF24BB-0575-4EA2-A284-32FD314D99D3}"/>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1" xr:uid="{6F575E85-63C3-4FE8-BDD3-54C400405032}"/>
    <cellStyle name="20% - Accent1 2 2 6 2 3" xfId="12536" xr:uid="{90248F09-935B-41C9-95EC-87ACAB0FCB28}"/>
    <cellStyle name="20% - Accent1 2 2 6 3" xfId="6159" xr:uid="{00000000-0005-0000-0000-000027000000}"/>
    <cellStyle name="20% - Accent1 2 2 6 3 2" xfId="14606" xr:uid="{3690AF50-26C6-4BBC-AE5C-37E9A3BA4B99}"/>
    <cellStyle name="20% - Accent1 2 2 6 4" xfId="10391" xr:uid="{95D73A7C-0D7A-4570-8151-42A87B29608D}"/>
    <cellStyle name="20% - Accent1 2 2 7" xfId="2266" xr:uid="{00000000-0005-0000-0000-000028000000}"/>
    <cellStyle name="20% - Accent1 2 2 7 2" xfId="6572" xr:uid="{00000000-0005-0000-0000-000029000000}"/>
    <cellStyle name="20% - Accent1 2 2 7 2 2" xfId="15019" xr:uid="{8E38D2D1-5D41-44F2-97A8-C2A6CDC4D91A}"/>
    <cellStyle name="20% - Accent1 2 2 7 3" xfId="10804" xr:uid="{86615BC8-FFC3-4840-A8FD-17D2DEAB7871}"/>
    <cellStyle name="20% - Accent1 2 2 8" xfId="4506" xr:uid="{00000000-0005-0000-0000-00002A000000}"/>
    <cellStyle name="20% - Accent1 2 2 8 2" xfId="12953" xr:uid="{7C93FB87-BEE5-4937-A32C-D2CEF9E58E23}"/>
    <cellStyle name="20% - Accent1 2 2 9" xfId="8738" xr:uid="{618000C7-6966-4888-B9E1-BD7E942488C3}"/>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4" xr:uid="{F4C6911D-E7B5-4256-8984-D40F8501BE7C}"/>
    <cellStyle name="20% - Accent1 2 3 2 2 3" xfId="11299" xr:uid="{80F33863-A83F-4A67-9733-C192F2977354}"/>
    <cellStyle name="20% - Accent1 2 3 2 3" xfId="4922" xr:uid="{00000000-0005-0000-0000-00002F000000}"/>
    <cellStyle name="20% - Accent1 2 3 2 3 2" xfId="13369" xr:uid="{37B7DEF3-F09C-4F5D-B1AD-FB22CD4F3282}"/>
    <cellStyle name="20% - Accent1 2 3 2 4" xfId="9154" xr:uid="{B72EB67B-AD86-4694-B760-650EFF113DD4}"/>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27" xr:uid="{6C02423C-BF3C-4D07-B21C-8E9F742EE9FF}"/>
    <cellStyle name="20% - Accent1 2 3 3 2 3" xfId="11712" xr:uid="{1C1E6E95-FF47-4FA5-9000-45F3FF5F4447}"/>
    <cellStyle name="20% - Accent1 2 3 3 3" xfId="5335" xr:uid="{00000000-0005-0000-0000-000033000000}"/>
    <cellStyle name="20% - Accent1 2 3 3 3 2" xfId="13782" xr:uid="{94455D63-43DC-4FDC-A68A-9BCFC8244C4B}"/>
    <cellStyle name="20% - Accent1 2 3 3 4" xfId="9567" xr:uid="{F0549BAB-0F5D-4840-9D7E-D089614364C2}"/>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0" xr:uid="{DF430103-6796-4832-B6BA-D230BCD978BD}"/>
    <cellStyle name="20% - Accent1 2 3 4 2 3" xfId="12125" xr:uid="{7B2615AA-6896-4F38-9CEF-864CBC59BA76}"/>
    <cellStyle name="20% - Accent1 2 3 4 3" xfId="5748" xr:uid="{00000000-0005-0000-0000-000037000000}"/>
    <cellStyle name="20% - Accent1 2 3 4 3 2" xfId="14195" xr:uid="{84F77854-CAF8-4F0C-A8C4-77A0F70565E6}"/>
    <cellStyle name="20% - Accent1 2 3 4 4" xfId="9980" xr:uid="{164A4E84-4A0A-4AE0-8BAF-77384143A521}"/>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3" xr:uid="{714AB551-F674-4DA2-8E13-C5098451C3DB}"/>
    <cellStyle name="20% - Accent1 2 3 5 2 3" xfId="12538" xr:uid="{58145ECE-7BCB-421C-9C4D-F7CF4D214877}"/>
    <cellStyle name="20% - Accent1 2 3 5 3" xfId="6161" xr:uid="{00000000-0005-0000-0000-00003B000000}"/>
    <cellStyle name="20% - Accent1 2 3 5 3 2" xfId="14608" xr:uid="{9A53DC22-430B-417C-8666-D8F86EF264D8}"/>
    <cellStyle name="20% - Accent1 2 3 5 4" xfId="10393" xr:uid="{E97D0114-2EBB-4BFC-9961-85B67F537DBD}"/>
    <cellStyle name="20% - Accent1 2 3 6" xfId="2268" xr:uid="{00000000-0005-0000-0000-00003C000000}"/>
    <cellStyle name="20% - Accent1 2 3 6 2" xfId="6574" xr:uid="{00000000-0005-0000-0000-00003D000000}"/>
    <cellStyle name="20% - Accent1 2 3 6 2 2" xfId="15021" xr:uid="{9739CE0B-51FD-4689-9A4A-7415B9304424}"/>
    <cellStyle name="20% - Accent1 2 3 6 3" xfId="10806" xr:uid="{3EB8982E-4C8C-4069-BC7B-E6810F783719}"/>
    <cellStyle name="20% - Accent1 2 3 7" xfId="4508" xr:uid="{00000000-0005-0000-0000-00003E000000}"/>
    <cellStyle name="20% - Accent1 2 3 7 2" xfId="12955" xr:uid="{D992B350-1CB2-4FA5-933C-D55C5807C2C9}"/>
    <cellStyle name="20% - Accent1 2 3 8" xfId="8740" xr:uid="{68D68B32-70C4-4191-902E-BAD9ADF97513}"/>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1" xr:uid="{7455CB95-1EAE-4F1A-81A5-9009452B8390}"/>
    <cellStyle name="20% - Accent1 2 4 2 3" xfId="11296" xr:uid="{9AE8F721-EA17-4AF4-BC50-B95868B5E535}"/>
    <cellStyle name="20% - Accent1 2 4 3" xfId="4919" xr:uid="{00000000-0005-0000-0000-000042000000}"/>
    <cellStyle name="20% - Accent1 2 4 3 2" xfId="13366" xr:uid="{90161178-83A1-4069-A4AA-6BBA76FD7A21}"/>
    <cellStyle name="20% - Accent1 2 4 4" xfId="9151" xr:uid="{0880BCBD-20BB-4980-AF6A-C9190776B8A8}"/>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4" xr:uid="{E73C81C4-832F-4316-A24E-CF44859E68F5}"/>
    <cellStyle name="20% - Accent1 2 5 2 3" xfId="11709" xr:uid="{BB7E1669-F17A-46DD-899D-FAD1984C6E1E}"/>
    <cellStyle name="20% - Accent1 2 5 3" xfId="5332" xr:uid="{00000000-0005-0000-0000-000046000000}"/>
    <cellStyle name="20% - Accent1 2 5 3 2" xfId="13779" xr:uid="{7FC7CA52-400D-4AB1-99B5-D40391BC8F43}"/>
    <cellStyle name="20% - Accent1 2 5 4" xfId="9564" xr:uid="{5643164A-9522-4E70-84F6-CB4A811435EF}"/>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37" xr:uid="{06741067-B03B-497E-A006-C12898A6047F}"/>
    <cellStyle name="20% - Accent1 2 6 2 3" xfId="12122" xr:uid="{32CC6FB4-40A1-4EA8-84E5-97ECB4B91286}"/>
    <cellStyle name="20% - Accent1 2 6 3" xfId="5745" xr:uid="{00000000-0005-0000-0000-00004A000000}"/>
    <cellStyle name="20% - Accent1 2 6 3 2" xfId="14192" xr:uid="{555CF133-E81B-44D1-9A60-BC6733E4576F}"/>
    <cellStyle name="20% - Accent1 2 6 4" xfId="9977" xr:uid="{604924CD-35FE-45F2-A144-187FB0B214CC}"/>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0" xr:uid="{263C5072-03B1-4B60-B09A-0BEEC98A3A69}"/>
    <cellStyle name="20% - Accent1 2 7 2 3" xfId="12535" xr:uid="{A786C279-14F0-414D-BAD1-EF8BB27EEE39}"/>
    <cellStyle name="20% - Accent1 2 7 3" xfId="6158" xr:uid="{00000000-0005-0000-0000-00004E000000}"/>
    <cellStyle name="20% - Accent1 2 7 3 2" xfId="14605" xr:uid="{AF68B5DB-61E9-4ACB-A90B-693B338360C9}"/>
    <cellStyle name="20% - Accent1 2 7 4" xfId="10390" xr:uid="{328ACAE7-AD0C-40BA-A421-444B7A140118}"/>
    <cellStyle name="20% - Accent1 2 8" xfId="2265" xr:uid="{00000000-0005-0000-0000-00004F000000}"/>
    <cellStyle name="20% - Accent1 2 8 2" xfId="6571" xr:uid="{00000000-0005-0000-0000-000050000000}"/>
    <cellStyle name="20% - Accent1 2 8 2 2" xfId="15018" xr:uid="{ACE13DF7-C368-47D0-B90F-3FBDF60BF8B9}"/>
    <cellStyle name="20% - Accent1 2 8 3" xfId="10803" xr:uid="{A75C354C-D049-468F-AF99-FECC97DCC062}"/>
    <cellStyle name="20% - Accent1 2 9" xfId="4505" xr:uid="{00000000-0005-0000-0000-000051000000}"/>
    <cellStyle name="20% - Accent1 2 9 2" xfId="12952" xr:uid="{BB75FE14-6D79-42AF-B9FD-6AE14A6C600B}"/>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6" xr:uid="{B40295E3-E397-44AF-95B7-73083EE06BAB}"/>
    <cellStyle name="20% - Accent1 3 2 2 2 3" xfId="11301" xr:uid="{8904AD56-C34F-46F7-BAAE-C565C29924A9}"/>
    <cellStyle name="20% - Accent1 3 2 2 3" xfId="4924" xr:uid="{00000000-0005-0000-0000-000057000000}"/>
    <cellStyle name="20% - Accent1 3 2 2 3 2" xfId="13371" xr:uid="{6B7E149E-AB9C-4552-B10D-33B69C2FB3D0}"/>
    <cellStyle name="20% - Accent1 3 2 2 4" xfId="9156" xr:uid="{6C40B598-79E9-4557-A98A-3CBA12693A8D}"/>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29" xr:uid="{20290622-D82B-495F-A931-7DA225CB4963}"/>
    <cellStyle name="20% - Accent1 3 2 3 2 3" xfId="11714" xr:uid="{4EF6475F-AE1C-473B-9921-FB9EB6B7263C}"/>
    <cellStyle name="20% - Accent1 3 2 3 3" xfId="5337" xr:uid="{00000000-0005-0000-0000-00005B000000}"/>
    <cellStyle name="20% - Accent1 3 2 3 3 2" xfId="13784" xr:uid="{45456EBA-4266-47D5-96B7-E5DB2540F0FF}"/>
    <cellStyle name="20% - Accent1 3 2 3 4" xfId="9569" xr:uid="{20590A0B-E080-481E-A094-767761CBAA2D}"/>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2" xr:uid="{11886D5D-2129-4CA7-85DA-DAB5018107A6}"/>
    <cellStyle name="20% - Accent1 3 2 4 2 3" xfId="12127" xr:uid="{37BEA391-6558-4CFE-986E-6D70B6BADBCC}"/>
    <cellStyle name="20% - Accent1 3 2 4 3" xfId="5750" xr:uid="{00000000-0005-0000-0000-00005F000000}"/>
    <cellStyle name="20% - Accent1 3 2 4 3 2" xfId="14197" xr:uid="{E7B716F6-1C9A-4321-A9E0-82E4A6C049CC}"/>
    <cellStyle name="20% - Accent1 3 2 4 4" xfId="9982" xr:uid="{7A090704-84CB-4A5E-A522-B01B74D7CF65}"/>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5" xr:uid="{4A03C0C5-D61B-4723-861C-C4CF077D656A}"/>
    <cellStyle name="20% - Accent1 3 2 5 2 3" xfId="12540" xr:uid="{1F119D02-B5A2-4F48-89C4-C9B996EC6923}"/>
    <cellStyle name="20% - Accent1 3 2 5 3" xfId="6163" xr:uid="{00000000-0005-0000-0000-000063000000}"/>
    <cellStyle name="20% - Accent1 3 2 5 3 2" xfId="14610" xr:uid="{DBE3E9A2-CE2D-46EA-9781-1AFE5AFE118A}"/>
    <cellStyle name="20% - Accent1 3 2 5 4" xfId="10395" xr:uid="{380DAD42-5EF6-457D-AFEB-F7F71281BA56}"/>
    <cellStyle name="20% - Accent1 3 2 6" xfId="2270" xr:uid="{00000000-0005-0000-0000-000064000000}"/>
    <cellStyle name="20% - Accent1 3 2 6 2" xfId="6576" xr:uid="{00000000-0005-0000-0000-000065000000}"/>
    <cellStyle name="20% - Accent1 3 2 6 2 2" xfId="15023" xr:uid="{15E4A1C7-3C12-4B2B-98CB-DB25F8831FA9}"/>
    <cellStyle name="20% - Accent1 3 2 6 3" xfId="10808" xr:uid="{5238CCE3-FB0A-45B0-87AF-FCB1088CFB52}"/>
    <cellStyle name="20% - Accent1 3 2 7" xfId="4510" xr:uid="{00000000-0005-0000-0000-000066000000}"/>
    <cellStyle name="20% - Accent1 3 2 7 2" xfId="12957" xr:uid="{FEB9251C-CAC5-46A4-8AA2-C3258A6AEAC4}"/>
    <cellStyle name="20% - Accent1 3 2 8" xfId="8742" xr:uid="{091F0DC6-7E16-4EB6-84EC-E68422DC0EAB}"/>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5" xr:uid="{719FAB77-7C80-45BB-9B1B-294E9D19B2FB}"/>
    <cellStyle name="20% - Accent1 3 3 2 3" xfId="11300" xr:uid="{5D068073-CAB1-4343-AA78-D1F46D57DBF3}"/>
    <cellStyle name="20% - Accent1 3 3 3" xfId="4923" xr:uid="{00000000-0005-0000-0000-00006A000000}"/>
    <cellStyle name="20% - Accent1 3 3 3 2" xfId="13370" xr:uid="{1271163C-3187-4256-A47E-FA8FAE1BF94E}"/>
    <cellStyle name="20% - Accent1 3 3 4" xfId="9155" xr:uid="{6B85C492-197F-4AF4-8C66-B837385F4916}"/>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28" xr:uid="{1C9D7FEC-88FC-4E41-AF59-BE7C9B0627E6}"/>
    <cellStyle name="20% - Accent1 3 4 2 3" xfId="11713" xr:uid="{4C2B182B-F5FD-4835-863C-F4E030EF7067}"/>
    <cellStyle name="20% - Accent1 3 4 3" xfId="5336" xr:uid="{00000000-0005-0000-0000-00006E000000}"/>
    <cellStyle name="20% - Accent1 3 4 3 2" xfId="13783" xr:uid="{615F3119-A40A-4E9D-BBA6-E07999C2D4C1}"/>
    <cellStyle name="20% - Accent1 3 4 4" xfId="9568" xr:uid="{A3DC6A15-B890-42F2-BC5C-8E99827A1B15}"/>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1" xr:uid="{8162D9E3-654C-4EF6-9E4C-DB262D2D21D0}"/>
    <cellStyle name="20% - Accent1 3 5 2 3" xfId="12126" xr:uid="{F184B9FD-1167-4EB0-A1B0-C29774299847}"/>
    <cellStyle name="20% - Accent1 3 5 3" xfId="5749" xr:uid="{00000000-0005-0000-0000-000072000000}"/>
    <cellStyle name="20% - Accent1 3 5 3 2" xfId="14196" xr:uid="{CAD08BCE-06A2-4F3E-89FB-E0246787E57B}"/>
    <cellStyle name="20% - Accent1 3 5 4" xfId="9981" xr:uid="{F52071EB-66CC-4610-9333-3C1D9063D42E}"/>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4" xr:uid="{BB784F0A-F69C-4E22-BCC3-53E666C17A38}"/>
    <cellStyle name="20% - Accent1 3 6 2 3" xfId="12539" xr:uid="{2985E5AE-610C-41BA-A57A-E1A525EAEEFA}"/>
    <cellStyle name="20% - Accent1 3 6 3" xfId="6162" xr:uid="{00000000-0005-0000-0000-000076000000}"/>
    <cellStyle name="20% - Accent1 3 6 3 2" xfId="14609" xr:uid="{7FB1FF43-F512-4677-8B0F-AF1B5F68DB60}"/>
    <cellStyle name="20% - Accent1 3 6 4" xfId="10394" xr:uid="{C2FB91F1-810D-4033-BC66-A74431FBD3F7}"/>
    <cellStyle name="20% - Accent1 3 7" xfId="2269" xr:uid="{00000000-0005-0000-0000-000077000000}"/>
    <cellStyle name="20% - Accent1 3 7 2" xfId="6575" xr:uid="{00000000-0005-0000-0000-000078000000}"/>
    <cellStyle name="20% - Accent1 3 7 2 2" xfId="15022" xr:uid="{82392F0C-C47B-4950-86EE-CB572AF9DC79}"/>
    <cellStyle name="20% - Accent1 3 7 3" xfId="10807" xr:uid="{F23F4388-4900-4322-8066-A7251C0724C1}"/>
    <cellStyle name="20% - Accent1 3 8" xfId="4509" xr:uid="{00000000-0005-0000-0000-000079000000}"/>
    <cellStyle name="20% - Accent1 3 8 2" xfId="12956" xr:uid="{B670EC59-FC83-47CD-B1E7-9827866327D0}"/>
    <cellStyle name="20% - Accent1 3 9" xfId="8741" xr:uid="{2554C803-58A5-466A-A779-B6C77512E9B1}"/>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17" xr:uid="{47979208-DA23-46DF-8331-D383035BAE4A}"/>
    <cellStyle name="20% - Accent1 4 2 2 3" xfId="11302" xr:uid="{F1025178-E8AE-4A86-BDB4-B8F791B928D9}"/>
    <cellStyle name="20% - Accent1 4 2 3" xfId="4925" xr:uid="{00000000-0005-0000-0000-00007E000000}"/>
    <cellStyle name="20% - Accent1 4 2 3 2" xfId="13372" xr:uid="{5D82CB8C-7AF6-4678-BE34-30AE666A5F0B}"/>
    <cellStyle name="20% - Accent1 4 2 4" xfId="9157" xr:uid="{88F560E8-541F-4183-A0A9-858796E97AE4}"/>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0" xr:uid="{7449C60E-0971-4E79-83E2-708A2016B204}"/>
    <cellStyle name="20% - Accent1 4 3 2 3" xfId="11715" xr:uid="{687AA4EB-C31A-4C1D-9222-B383E72E1934}"/>
    <cellStyle name="20% - Accent1 4 3 3" xfId="5338" xr:uid="{00000000-0005-0000-0000-000082000000}"/>
    <cellStyle name="20% - Accent1 4 3 3 2" xfId="13785" xr:uid="{2E9455F9-0841-4AA3-91BB-3BC3117BB364}"/>
    <cellStyle name="20% - Accent1 4 3 4" xfId="9570" xr:uid="{F0581E7B-CB8B-41DE-ABD7-065CBE5B4008}"/>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3" xr:uid="{549767E3-759E-4455-A159-645C5854E2A0}"/>
    <cellStyle name="20% - Accent1 4 4 2 3" xfId="12128" xr:uid="{BA794D3D-1454-4521-81E9-BF7D1B6CFBB1}"/>
    <cellStyle name="20% - Accent1 4 4 3" xfId="5751" xr:uid="{00000000-0005-0000-0000-000086000000}"/>
    <cellStyle name="20% - Accent1 4 4 3 2" xfId="14198" xr:uid="{087953CF-3C2C-47C4-B96E-E3C19C2AE1C2}"/>
    <cellStyle name="20% - Accent1 4 4 4" xfId="9983" xr:uid="{FBB8C24E-64DC-4362-A8D3-A670AD344EC0}"/>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6" xr:uid="{242B7554-0FC0-48BF-B9C5-CFE5008D15BA}"/>
    <cellStyle name="20% - Accent1 4 5 2 3" xfId="12541" xr:uid="{A15A6A17-CD79-4F81-85FE-5D72BEACF1EE}"/>
    <cellStyle name="20% - Accent1 4 5 3" xfId="6164" xr:uid="{00000000-0005-0000-0000-00008A000000}"/>
    <cellStyle name="20% - Accent1 4 5 3 2" xfId="14611" xr:uid="{8561FB58-5CC0-4387-BB7E-295DDF80C925}"/>
    <cellStyle name="20% - Accent1 4 5 4" xfId="10396" xr:uid="{93DB7511-F0C8-413A-8149-6E2CED80D612}"/>
    <cellStyle name="20% - Accent1 4 6" xfId="2271" xr:uid="{00000000-0005-0000-0000-00008B000000}"/>
    <cellStyle name="20% - Accent1 4 6 2" xfId="6577" xr:uid="{00000000-0005-0000-0000-00008C000000}"/>
    <cellStyle name="20% - Accent1 4 6 2 2" xfId="15024" xr:uid="{7E35F0BE-D4D8-45B2-96E3-DF546FEDDFF6}"/>
    <cellStyle name="20% - Accent1 4 6 3" xfId="10809" xr:uid="{4E99693D-99C6-4EDD-871E-B4AAB9BD2E66}"/>
    <cellStyle name="20% - Accent1 4 7" xfId="4511" xr:uid="{00000000-0005-0000-0000-00008D000000}"/>
    <cellStyle name="20% - Accent1 4 7 2" xfId="12958" xr:uid="{F31FF5A5-DE8A-4CF8-848F-16C6D1CFD58F}"/>
    <cellStyle name="20% - Accent1 4 8" xfId="8743" xr:uid="{DEF6680E-FA59-4902-B4BE-44048B1C8C0D}"/>
    <cellStyle name="20% - Accent1 5" xfId="570" xr:uid="{00000000-0005-0000-0000-00008E000000}"/>
    <cellStyle name="20% - Accent1 5 2" xfId="2841" xr:uid="{00000000-0005-0000-0000-00008F000000}"/>
    <cellStyle name="20% - Accent1 5 2 2" xfId="7063" xr:uid="{00000000-0005-0000-0000-000090000000}"/>
    <cellStyle name="20% - Accent1 5 2 2 2" xfId="15510" xr:uid="{93F0BD41-0451-4207-8184-4E2766333E3F}"/>
    <cellStyle name="20% - Accent1 5 2 3" xfId="11295" xr:uid="{923069C1-B376-496D-A6A3-429BF6325FBC}"/>
    <cellStyle name="20% - Accent1 5 3" xfId="4918" xr:uid="{00000000-0005-0000-0000-000091000000}"/>
    <cellStyle name="20% - Accent1 5 3 2" xfId="13365" xr:uid="{54CEC901-D490-4C7C-84DC-14B04D4245E9}"/>
    <cellStyle name="20% - Accent1 5 4" xfId="9150" xr:uid="{663BD420-48BD-4392-9B3F-3881F7FE874B}"/>
    <cellStyle name="20% - Accent1 6" xfId="1023" xr:uid="{00000000-0005-0000-0000-000092000000}"/>
    <cellStyle name="20% - Accent1 6 2" xfId="3254" xr:uid="{00000000-0005-0000-0000-000093000000}"/>
    <cellStyle name="20% - Accent1 6 2 2" xfId="7476" xr:uid="{00000000-0005-0000-0000-000094000000}"/>
    <cellStyle name="20% - Accent1 6 2 2 2" xfId="15923" xr:uid="{8F397119-4682-4E09-8A7D-879D812A7E83}"/>
    <cellStyle name="20% - Accent1 6 2 3" xfId="11708" xr:uid="{8704DE11-944E-48A4-93B6-16AE0D66E312}"/>
    <cellStyle name="20% - Accent1 6 3" xfId="5331" xr:uid="{00000000-0005-0000-0000-000095000000}"/>
    <cellStyle name="20% - Accent1 6 3 2" xfId="13778" xr:uid="{3B83806F-0D91-46A7-B7B1-F5516CE8C87C}"/>
    <cellStyle name="20% - Accent1 6 4" xfId="9563" xr:uid="{027D5C4C-6142-48B6-993D-015C23EE1124}"/>
    <cellStyle name="20% - Accent1 7" xfId="1437" xr:uid="{00000000-0005-0000-0000-000096000000}"/>
    <cellStyle name="20% - Accent1 7 2" xfId="3667" xr:uid="{00000000-0005-0000-0000-000097000000}"/>
    <cellStyle name="20% - Accent1 7 2 2" xfId="7889" xr:uid="{00000000-0005-0000-0000-000098000000}"/>
    <cellStyle name="20% - Accent1 7 2 2 2" xfId="16336" xr:uid="{9C02C80A-95E6-4138-B11B-CCE8348B17E6}"/>
    <cellStyle name="20% - Accent1 7 2 3" xfId="12121" xr:uid="{D09D8B98-7061-4375-8B85-A6A599A66251}"/>
    <cellStyle name="20% - Accent1 7 3" xfId="5744" xr:uid="{00000000-0005-0000-0000-000099000000}"/>
    <cellStyle name="20% - Accent1 7 3 2" xfId="14191" xr:uid="{609760E5-571D-4F82-8014-92CA92EBE01C}"/>
    <cellStyle name="20% - Accent1 7 4" xfId="9976" xr:uid="{8D464C52-D659-4C90-8413-A69967166C3D}"/>
    <cellStyle name="20% - Accent1 8" xfId="1851" xr:uid="{00000000-0005-0000-0000-00009A000000}"/>
    <cellStyle name="20% - Accent1 8 2" xfId="4080" xr:uid="{00000000-0005-0000-0000-00009B000000}"/>
    <cellStyle name="20% - Accent1 8 2 2" xfId="8302" xr:uid="{00000000-0005-0000-0000-00009C000000}"/>
    <cellStyle name="20% - Accent1 8 2 2 2" xfId="16749" xr:uid="{BC338226-6A40-42C8-88B1-869446867D47}"/>
    <cellStyle name="20% - Accent1 8 2 3" xfId="12534" xr:uid="{88585108-7D07-44C8-B835-B7D9B6DF4EB3}"/>
    <cellStyle name="20% - Accent1 8 3" xfId="6157" xr:uid="{00000000-0005-0000-0000-00009D000000}"/>
    <cellStyle name="20% - Accent1 8 3 2" xfId="14604" xr:uid="{AC871AA5-0130-48B3-8FC2-9B52A273AC25}"/>
    <cellStyle name="20% - Accent1 8 4" xfId="10389" xr:uid="{CEEAF0F5-7B64-4F6B-9445-0F3DB3791532}"/>
    <cellStyle name="20% - Accent1 9" xfId="2264" xr:uid="{00000000-0005-0000-0000-00009E000000}"/>
    <cellStyle name="20% - Accent1 9 2" xfId="6570" xr:uid="{00000000-0005-0000-0000-00009F000000}"/>
    <cellStyle name="20% - Accent1 9 2 2" xfId="15017" xr:uid="{2924566E-A5F3-4FC7-AE05-80A79DCBA091}"/>
    <cellStyle name="20% - Accent1 9 3" xfId="10802" xr:uid="{75387860-1CEF-402B-ABA1-F0F3CD9C1C3E}"/>
    <cellStyle name="20% - Accent2" xfId="9" builtinId="34" customBuiltin="1"/>
    <cellStyle name="20% - Accent2 10" xfId="4512" xr:uid="{00000000-0005-0000-0000-0000A1000000}"/>
    <cellStyle name="20% - Accent2 10 2" xfId="12959" xr:uid="{400365DB-DDD8-4D2A-AD37-261997D7AF69}"/>
    <cellStyle name="20% - Accent2 11" xfId="8744" xr:uid="{58A1FA08-CB47-4435-86B4-F62B8D1D731D}"/>
    <cellStyle name="20% - Accent2 2" xfId="10" xr:uid="{00000000-0005-0000-0000-0000A2000000}"/>
    <cellStyle name="20% - Accent2 2 10" xfId="8745" xr:uid="{08E31096-FD1C-40B0-AE9C-5A2E7645FFBE}"/>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1" xr:uid="{C5205DC4-0BE3-442C-8FED-77AE80EB37C7}"/>
    <cellStyle name="20% - Accent2 2 2 2 2 2 3" xfId="11306" xr:uid="{499113EE-947C-4251-8594-893AD45D953B}"/>
    <cellStyle name="20% - Accent2 2 2 2 2 3" xfId="4929" xr:uid="{00000000-0005-0000-0000-0000A8000000}"/>
    <cellStyle name="20% - Accent2 2 2 2 2 3 2" xfId="13376" xr:uid="{5AA38A17-1E7A-4BD8-9631-1C2D67A0B4EC}"/>
    <cellStyle name="20% - Accent2 2 2 2 2 4" xfId="9161" xr:uid="{AA9976C2-524C-453C-9E95-E22F356A4323}"/>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4" xr:uid="{A3C3AA4A-970B-4AD1-9C55-C45819E4583B}"/>
    <cellStyle name="20% - Accent2 2 2 2 3 2 3" xfId="11719" xr:uid="{A9290FCB-BA1B-42D2-B2EF-771D91BA2C66}"/>
    <cellStyle name="20% - Accent2 2 2 2 3 3" xfId="5342" xr:uid="{00000000-0005-0000-0000-0000AC000000}"/>
    <cellStyle name="20% - Accent2 2 2 2 3 3 2" xfId="13789" xr:uid="{6743EE31-F196-486E-ABB6-291A704B0383}"/>
    <cellStyle name="20% - Accent2 2 2 2 3 4" xfId="9574" xr:uid="{37F62F8A-C6E8-4227-A090-CB1B64ED1BE7}"/>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47" xr:uid="{355D3807-5BA2-4412-A452-22763122468D}"/>
    <cellStyle name="20% - Accent2 2 2 2 4 2 3" xfId="12132" xr:uid="{01A00449-EDEC-4847-ACD6-0B556E87736C}"/>
    <cellStyle name="20% - Accent2 2 2 2 4 3" xfId="5755" xr:uid="{00000000-0005-0000-0000-0000B0000000}"/>
    <cellStyle name="20% - Accent2 2 2 2 4 3 2" xfId="14202" xr:uid="{FF0C72D5-3AB9-4AC6-AD0F-1B4747724808}"/>
    <cellStyle name="20% - Accent2 2 2 2 4 4" xfId="9987" xr:uid="{E30381A8-BDC1-4A73-AD84-97165DB124F7}"/>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0" xr:uid="{02F8A6D9-9F7E-4F71-93A3-C7EC90F7769E}"/>
    <cellStyle name="20% - Accent2 2 2 2 5 2 3" xfId="12545" xr:uid="{94D70ADC-49B2-4858-9993-9BE028777DB1}"/>
    <cellStyle name="20% - Accent2 2 2 2 5 3" xfId="6168" xr:uid="{00000000-0005-0000-0000-0000B4000000}"/>
    <cellStyle name="20% - Accent2 2 2 2 5 3 2" xfId="14615" xr:uid="{918C73B6-9196-40E2-8730-14382FDB2117}"/>
    <cellStyle name="20% - Accent2 2 2 2 5 4" xfId="10400" xr:uid="{ED67093C-7B40-4143-A30D-DBEE00C25CCE}"/>
    <cellStyle name="20% - Accent2 2 2 2 6" xfId="2275" xr:uid="{00000000-0005-0000-0000-0000B5000000}"/>
    <cellStyle name="20% - Accent2 2 2 2 6 2" xfId="6581" xr:uid="{00000000-0005-0000-0000-0000B6000000}"/>
    <cellStyle name="20% - Accent2 2 2 2 6 2 2" xfId="15028" xr:uid="{04B543B7-B160-4323-9194-CEC44695FCDD}"/>
    <cellStyle name="20% - Accent2 2 2 2 6 3" xfId="10813" xr:uid="{37A59934-C5EB-43D7-9E88-437A09DFB46E}"/>
    <cellStyle name="20% - Accent2 2 2 2 7" xfId="4515" xr:uid="{00000000-0005-0000-0000-0000B7000000}"/>
    <cellStyle name="20% - Accent2 2 2 2 7 2" xfId="12962" xr:uid="{8944544F-CC60-41BB-B3FC-2839338BA1D1}"/>
    <cellStyle name="20% - Accent2 2 2 2 8" xfId="8747" xr:uid="{F053145B-1510-444B-B20F-7EA7E9B38ABA}"/>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0" xr:uid="{F54E0EFC-FFCC-48B5-BAE7-06347935E9FF}"/>
    <cellStyle name="20% - Accent2 2 2 3 2 3" xfId="11305" xr:uid="{9D33DCFC-6A4E-4E64-9F42-78A2D5F41B38}"/>
    <cellStyle name="20% - Accent2 2 2 3 3" xfId="4928" xr:uid="{00000000-0005-0000-0000-0000BB000000}"/>
    <cellStyle name="20% - Accent2 2 2 3 3 2" xfId="13375" xr:uid="{B26FF317-9B5E-473F-83DA-8C75DA7728BA}"/>
    <cellStyle name="20% - Accent2 2 2 3 4" xfId="9160" xr:uid="{5367CE81-061B-4BB0-A406-91A075E205B9}"/>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3" xr:uid="{CAD38273-B63C-4C43-A056-2B46BD839E3A}"/>
    <cellStyle name="20% - Accent2 2 2 4 2 3" xfId="11718" xr:uid="{D30AAF5C-2F40-4A6E-AB1B-0AA90AF1422B}"/>
    <cellStyle name="20% - Accent2 2 2 4 3" xfId="5341" xr:uid="{00000000-0005-0000-0000-0000BF000000}"/>
    <cellStyle name="20% - Accent2 2 2 4 3 2" xfId="13788" xr:uid="{E6AC076D-496D-49E3-94E9-D0A2B871A9E5}"/>
    <cellStyle name="20% - Accent2 2 2 4 4" xfId="9573" xr:uid="{F58E34C5-7C4D-4001-A542-29EC9D9782A2}"/>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6" xr:uid="{F37E573F-4AF7-4889-B169-EBBFC23664A5}"/>
    <cellStyle name="20% - Accent2 2 2 5 2 3" xfId="12131" xr:uid="{87CF594E-B8A8-476F-88F9-695E8050AD06}"/>
    <cellStyle name="20% - Accent2 2 2 5 3" xfId="5754" xr:uid="{00000000-0005-0000-0000-0000C3000000}"/>
    <cellStyle name="20% - Accent2 2 2 5 3 2" xfId="14201" xr:uid="{1B2580BA-D7ED-45F7-B0F3-5B80E105BA68}"/>
    <cellStyle name="20% - Accent2 2 2 5 4" xfId="9986" xr:uid="{0C635134-33AC-4721-B7A7-8E4F0051FE99}"/>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59" xr:uid="{ECA77DB1-4C59-4AEF-AEF2-205B67F7C55A}"/>
    <cellStyle name="20% - Accent2 2 2 6 2 3" xfId="12544" xr:uid="{6AABD3D1-66A1-455B-B399-4788996AA95D}"/>
    <cellStyle name="20% - Accent2 2 2 6 3" xfId="6167" xr:uid="{00000000-0005-0000-0000-0000C7000000}"/>
    <cellStyle name="20% - Accent2 2 2 6 3 2" xfId="14614" xr:uid="{FADEDAFC-26FC-4644-B60F-1C8BA13FB1B9}"/>
    <cellStyle name="20% - Accent2 2 2 6 4" xfId="10399" xr:uid="{E948E36A-59EC-4591-AAEA-BE751673141F}"/>
    <cellStyle name="20% - Accent2 2 2 7" xfId="2274" xr:uid="{00000000-0005-0000-0000-0000C8000000}"/>
    <cellStyle name="20% - Accent2 2 2 7 2" xfId="6580" xr:uid="{00000000-0005-0000-0000-0000C9000000}"/>
    <cellStyle name="20% - Accent2 2 2 7 2 2" xfId="15027" xr:uid="{672F8740-7128-4C01-B92D-FBF990806D24}"/>
    <cellStyle name="20% - Accent2 2 2 7 3" xfId="10812" xr:uid="{706230A0-46A4-4C34-875F-EEAEEC7CA7F7}"/>
    <cellStyle name="20% - Accent2 2 2 8" xfId="4514" xr:uid="{00000000-0005-0000-0000-0000CA000000}"/>
    <cellStyle name="20% - Accent2 2 2 8 2" xfId="12961" xr:uid="{30BA41BD-3BEA-4941-9C4C-6F06445970CC}"/>
    <cellStyle name="20% - Accent2 2 2 9" xfId="8746" xr:uid="{1EDC057B-0CEA-4D92-9E27-46BA555DB726}"/>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2" xr:uid="{00149A11-3DC4-4A91-B2D8-EB23B1CFAD0A}"/>
    <cellStyle name="20% - Accent2 2 3 2 2 3" xfId="11307" xr:uid="{4F2A02B9-CF84-4194-9BD5-0D126774D48F}"/>
    <cellStyle name="20% - Accent2 2 3 2 3" xfId="4930" xr:uid="{00000000-0005-0000-0000-0000CF000000}"/>
    <cellStyle name="20% - Accent2 2 3 2 3 2" xfId="13377" xr:uid="{91C42646-DD3E-4D56-B2BF-C9B4F2BE7393}"/>
    <cellStyle name="20% - Accent2 2 3 2 4" xfId="9162" xr:uid="{6153D5E7-B835-409D-B0A5-066F5931F837}"/>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5" xr:uid="{7E95C58E-5266-4E6E-B28D-E2EAFE1A169E}"/>
    <cellStyle name="20% - Accent2 2 3 3 2 3" xfId="11720" xr:uid="{2D7BEE5D-F6C1-4931-A388-F042395FF366}"/>
    <cellStyle name="20% - Accent2 2 3 3 3" xfId="5343" xr:uid="{00000000-0005-0000-0000-0000D3000000}"/>
    <cellStyle name="20% - Accent2 2 3 3 3 2" xfId="13790" xr:uid="{8249D8A9-F8FD-4E7F-9CE6-E0098D63F01B}"/>
    <cellStyle name="20% - Accent2 2 3 3 4" xfId="9575" xr:uid="{CDB245F7-CF6C-418F-BF89-A145D97E2291}"/>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48" xr:uid="{FD2C6F0E-D31A-4660-B872-5A20BB5DCD20}"/>
    <cellStyle name="20% - Accent2 2 3 4 2 3" xfId="12133" xr:uid="{9BB28E24-A85F-45FE-9799-FB675E828488}"/>
    <cellStyle name="20% - Accent2 2 3 4 3" xfId="5756" xr:uid="{00000000-0005-0000-0000-0000D7000000}"/>
    <cellStyle name="20% - Accent2 2 3 4 3 2" xfId="14203" xr:uid="{275FEA6D-D46A-44C6-B41D-01AFE13DDF49}"/>
    <cellStyle name="20% - Accent2 2 3 4 4" xfId="9988" xr:uid="{95FA41EB-F022-4403-A393-D2BBB5525E7B}"/>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1" xr:uid="{C4005FF4-5084-4CDB-8E37-A0CE3DD937EA}"/>
    <cellStyle name="20% - Accent2 2 3 5 2 3" xfId="12546" xr:uid="{E3A6E537-380F-42CA-A211-0AB128A79EE0}"/>
    <cellStyle name="20% - Accent2 2 3 5 3" xfId="6169" xr:uid="{00000000-0005-0000-0000-0000DB000000}"/>
    <cellStyle name="20% - Accent2 2 3 5 3 2" xfId="14616" xr:uid="{F58CC5EF-7E2D-4F6C-93FC-385E90C66341}"/>
    <cellStyle name="20% - Accent2 2 3 5 4" xfId="10401" xr:uid="{251ED1AA-00A4-4F90-9F0D-CDCFE60778B9}"/>
    <cellStyle name="20% - Accent2 2 3 6" xfId="2276" xr:uid="{00000000-0005-0000-0000-0000DC000000}"/>
    <cellStyle name="20% - Accent2 2 3 6 2" xfId="6582" xr:uid="{00000000-0005-0000-0000-0000DD000000}"/>
    <cellStyle name="20% - Accent2 2 3 6 2 2" xfId="15029" xr:uid="{C8151A5D-BD85-4B11-A3ED-7227EECEC388}"/>
    <cellStyle name="20% - Accent2 2 3 6 3" xfId="10814" xr:uid="{35200138-6B94-4B69-A72A-B39418E9E5BB}"/>
    <cellStyle name="20% - Accent2 2 3 7" xfId="4516" xr:uid="{00000000-0005-0000-0000-0000DE000000}"/>
    <cellStyle name="20% - Accent2 2 3 7 2" xfId="12963" xr:uid="{5893E22B-ADAE-4DCA-8540-7B2AF8766A52}"/>
    <cellStyle name="20% - Accent2 2 3 8" xfId="8748" xr:uid="{783B0BA2-426D-495B-B6EA-61115EBB0B99}"/>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19" xr:uid="{781B87DF-858D-42E4-8B30-3B6DD8DA0B08}"/>
    <cellStyle name="20% - Accent2 2 4 2 3" xfId="11304" xr:uid="{A1015A67-4F86-40A8-A170-85A2F34F7EC2}"/>
    <cellStyle name="20% - Accent2 2 4 3" xfId="4927" xr:uid="{00000000-0005-0000-0000-0000E2000000}"/>
    <cellStyle name="20% - Accent2 2 4 3 2" xfId="13374" xr:uid="{CF12DEB0-A000-4288-8A94-98C60444DE9C}"/>
    <cellStyle name="20% - Accent2 2 4 4" xfId="9159" xr:uid="{B71525D1-EDA4-45D6-B44B-5E1BA681D2A1}"/>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2" xr:uid="{D9D623D0-CEE7-4171-B496-E2AD4F22260B}"/>
    <cellStyle name="20% - Accent2 2 5 2 3" xfId="11717" xr:uid="{B16BE2F7-9B66-47D9-8CDC-FC5371AEDC79}"/>
    <cellStyle name="20% - Accent2 2 5 3" xfId="5340" xr:uid="{00000000-0005-0000-0000-0000E6000000}"/>
    <cellStyle name="20% - Accent2 2 5 3 2" xfId="13787" xr:uid="{75AA358F-66C8-4A25-8AB1-CA0E06ED2964}"/>
    <cellStyle name="20% - Accent2 2 5 4" xfId="9572" xr:uid="{319F9E93-00F7-4A7E-BC9C-5CB8EF66198F}"/>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5" xr:uid="{450F45CF-AE33-4006-A975-8311F38AB040}"/>
    <cellStyle name="20% - Accent2 2 6 2 3" xfId="12130" xr:uid="{66608D86-E5CE-4B0D-9B66-2F887FA69758}"/>
    <cellStyle name="20% - Accent2 2 6 3" xfId="5753" xr:uid="{00000000-0005-0000-0000-0000EA000000}"/>
    <cellStyle name="20% - Accent2 2 6 3 2" xfId="14200" xr:uid="{1D371BFA-0DA8-450A-A38D-B2AB48A5F684}"/>
    <cellStyle name="20% - Accent2 2 6 4" xfId="9985" xr:uid="{1A3480D1-A495-4F08-A1F2-979BFE8C65C3}"/>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58" xr:uid="{FD0876DA-932F-49B6-9A84-68A7EA105F1B}"/>
    <cellStyle name="20% - Accent2 2 7 2 3" xfId="12543" xr:uid="{103A3BE4-701B-4094-91D0-8E1E0F3194CA}"/>
    <cellStyle name="20% - Accent2 2 7 3" xfId="6166" xr:uid="{00000000-0005-0000-0000-0000EE000000}"/>
    <cellStyle name="20% - Accent2 2 7 3 2" xfId="14613" xr:uid="{6E1034A3-DD78-4835-B46C-3B85EA180195}"/>
    <cellStyle name="20% - Accent2 2 7 4" xfId="10398" xr:uid="{DCD81988-6D8A-4F78-84C6-D2DA35A02BA0}"/>
    <cellStyle name="20% - Accent2 2 8" xfId="2273" xr:uid="{00000000-0005-0000-0000-0000EF000000}"/>
    <cellStyle name="20% - Accent2 2 8 2" xfId="6579" xr:uid="{00000000-0005-0000-0000-0000F0000000}"/>
    <cellStyle name="20% - Accent2 2 8 2 2" xfId="15026" xr:uid="{A8D73E4E-AF0B-42B7-A287-5001ACC7CB98}"/>
    <cellStyle name="20% - Accent2 2 8 3" xfId="10811" xr:uid="{ADA10A3E-6A12-46BE-A1D3-635B42EB71C4}"/>
    <cellStyle name="20% - Accent2 2 9" xfId="4513" xr:uid="{00000000-0005-0000-0000-0000F1000000}"/>
    <cellStyle name="20% - Accent2 2 9 2" xfId="12960" xr:uid="{32A0CE74-8F49-4A98-A3EB-C1E982BFBE14}"/>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4" xr:uid="{5344F275-7597-4B0E-AE1A-A66088343A02}"/>
    <cellStyle name="20% - Accent2 3 2 2 2 3" xfId="11309" xr:uid="{7079D9DE-5979-4313-B6EF-AE1209903082}"/>
    <cellStyle name="20% - Accent2 3 2 2 3" xfId="4932" xr:uid="{00000000-0005-0000-0000-0000F7000000}"/>
    <cellStyle name="20% - Accent2 3 2 2 3 2" xfId="13379" xr:uid="{042EA6E4-13FC-42E3-9A29-30FE949C1B79}"/>
    <cellStyle name="20% - Accent2 3 2 2 4" xfId="9164" xr:uid="{B5171C17-E5DA-4388-BEC2-CA79F5D386B9}"/>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37" xr:uid="{D2BD28DA-E366-4C5B-9BD7-BD1A0BDEA801}"/>
    <cellStyle name="20% - Accent2 3 2 3 2 3" xfId="11722" xr:uid="{CF05B3ED-56E1-494A-B485-DEA2E5D88014}"/>
    <cellStyle name="20% - Accent2 3 2 3 3" xfId="5345" xr:uid="{00000000-0005-0000-0000-0000FB000000}"/>
    <cellStyle name="20% - Accent2 3 2 3 3 2" xfId="13792" xr:uid="{651C0A3E-F068-4984-B7DD-982D5CDCA69C}"/>
    <cellStyle name="20% - Accent2 3 2 3 4" xfId="9577" xr:uid="{5F149882-C7ED-4A89-80B4-D56DE2C4B689}"/>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0" xr:uid="{0EEEC2DF-55AC-4F9E-B65C-5BEF8511C5D4}"/>
    <cellStyle name="20% - Accent2 3 2 4 2 3" xfId="12135" xr:uid="{AE756E2D-1E54-42D9-866B-43E22A50555B}"/>
    <cellStyle name="20% - Accent2 3 2 4 3" xfId="5758" xr:uid="{00000000-0005-0000-0000-0000FF000000}"/>
    <cellStyle name="20% - Accent2 3 2 4 3 2" xfId="14205" xr:uid="{3820C29C-A211-42F5-BE2D-5E047F8F7A7C}"/>
    <cellStyle name="20% - Accent2 3 2 4 4" xfId="9990" xr:uid="{E164DC8E-F866-4493-B59F-FF50F1498C49}"/>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3" xr:uid="{1348C26C-9D16-4B47-ADF1-503EFDFFFF0A}"/>
    <cellStyle name="20% - Accent2 3 2 5 2 3" xfId="12548" xr:uid="{6CB3590F-BA7E-4C04-9D49-041CD43D7A12}"/>
    <cellStyle name="20% - Accent2 3 2 5 3" xfId="6171" xr:uid="{00000000-0005-0000-0000-000003010000}"/>
    <cellStyle name="20% - Accent2 3 2 5 3 2" xfId="14618" xr:uid="{C9562DD7-2C9B-4E51-BBA1-A8CC8E1AE28B}"/>
    <cellStyle name="20% - Accent2 3 2 5 4" xfId="10403" xr:uid="{68F659B3-8224-4B22-8041-E67F00AB6F25}"/>
    <cellStyle name="20% - Accent2 3 2 6" xfId="2278" xr:uid="{00000000-0005-0000-0000-000004010000}"/>
    <cellStyle name="20% - Accent2 3 2 6 2" xfId="6584" xr:uid="{00000000-0005-0000-0000-000005010000}"/>
    <cellStyle name="20% - Accent2 3 2 6 2 2" xfId="15031" xr:uid="{38EE7FA7-2D80-41EC-9DAD-E74E20099654}"/>
    <cellStyle name="20% - Accent2 3 2 6 3" xfId="10816" xr:uid="{2B58E7AF-DA28-4115-954D-158692550961}"/>
    <cellStyle name="20% - Accent2 3 2 7" xfId="4518" xr:uid="{00000000-0005-0000-0000-000006010000}"/>
    <cellStyle name="20% - Accent2 3 2 7 2" xfId="12965" xr:uid="{C65F816A-EC50-4D78-912F-E119F82D6490}"/>
    <cellStyle name="20% - Accent2 3 2 8" xfId="8750" xr:uid="{082F21E6-9CE3-41AD-AD7E-6CC2A39CD10D}"/>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3" xr:uid="{0962094E-5AA2-4B84-AD29-8B3EF0B9836C}"/>
    <cellStyle name="20% - Accent2 3 3 2 3" xfId="11308" xr:uid="{B86F4EA1-8A25-4599-9DF3-93056DE501CC}"/>
    <cellStyle name="20% - Accent2 3 3 3" xfId="4931" xr:uid="{00000000-0005-0000-0000-00000A010000}"/>
    <cellStyle name="20% - Accent2 3 3 3 2" xfId="13378" xr:uid="{2DD4536B-D544-4A6A-A846-44BBE6703CA1}"/>
    <cellStyle name="20% - Accent2 3 3 4" xfId="9163" xr:uid="{295FCA57-BE35-455D-A7CF-8CF99733ABBD}"/>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6" xr:uid="{19F6E5A6-F429-42B9-A195-649255552B93}"/>
    <cellStyle name="20% - Accent2 3 4 2 3" xfId="11721" xr:uid="{390F5D9E-B6AF-4B78-93F0-23B28139DDDF}"/>
    <cellStyle name="20% - Accent2 3 4 3" xfId="5344" xr:uid="{00000000-0005-0000-0000-00000E010000}"/>
    <cellStyle name="20% - Accent2 3 4 3 2" xfId="13791" xr:uid="{4262D826-6634-4A14-A536-DFD433CC5F11}"/>
    <cellStyle name="20% - Accent2 3 4 4" xfId="9576" xr:uid="{FAF1EBEB-A702-4298-8BCD-4CC20BE781A5}"/>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49" xr:uid="{6A1855E4-08E1-4379-B8A4-A4E17F51855F}"/>
    <cellStyle name="20% - Accent2 3 5 2 3" xfId="12134" xr:uid="{206A8359-B391-40B6-A383-31FD93B98D8F}"/>
    <cellStyle name="20% - Accent2 3 5 3" xfId="5757" xr:uid="{00000000-0005-0000-0000-000012010000}"/>
    <cellStyle name="20% - Accent2 3 5 3 2" xfId="14204" xr:uid="{2FCDC991-37D5-4223-AF6E-001CFC1B6718}"/>
    <cellStyle name="20% - Accent2 3 5 4" xfId="9989" xr:uid="{D03CC791-2D84-4D74-80CF-C646D886E919}"/>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2" xr:uid="{91FEC07D-76E8-429A-B610-E07AD419CF11}"/>
    <cellStyle name="20% - Accent2 3 6 2 3" xfId="12547" xr:uid="{B62D7BEA-9174-46FA-9C22-861522910CA6}"/>
    <cellStyle name="20% - Accent2 3 6 3" xfId="6170" xr:uid="{00000000-0005-0000-0000-000016010000}"/>
    <cellStyle name="20% - Accent2 3 6 3 2" xfId="14617" xr:uid="{CA53B9F7-E8D1-4A20-B079-2EE50E3EC7F6}"/>
    <cellStyle name="20% - Accent2 3 6 4" xfId="10402" xr:uid="{B8722438-9A3C-4445-8B49-1A0A5B5DDFB9}"/>
    <cellStyle name="20% - Accent2 3 7" xfId="2277" xr:uid="{00000000-0005-0000-0000-000017010000}"/>
    <cellStyle name="20% - Accent2 3 7 2" xfId="6583" xr:uid="{00000000-0005-0000-0000-000018010000}"/>
    <cellStyle name="20% - Accent2 3 7 2 2" xfId="15030" xr:uid="{5B046581-76AE-4BA5-8449-281AB07E2276}"/>
    <cellStyle name="20% - Accent2 3 7 3" xfId="10815" xr:uid="{550C7A6C-028F-4054-AAE9-1B12874B7332}"/>
    <cellStyle name="20% - Accent2 3 8" xfId="4517" xr:uid="{00000000-0005-0000-0000-000019010000}"/>
    <cellStyle name="20% - Accent2 3 8 2" xfId="12964" xr:uid="{674A4DCD-FC7C-468D-955F-0E32253D8F94}"/>
    <cellStyle name="20% - Accent2 3 9" xfId="8749" xr:uid="{C3CD3DFF-7E59-416A-B8BC-B52E39531772}"/>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5" xr:uid="{7EB4C30C-2770-4BBD-A746-5FC3FFB2BF6F}"/>
    <cellStyle name="20% - Accent2 4 2 2 3" xfId="11310" xr:uid="{263BBB74-2673-4888-96B6-63DB6A42743B}"/>
    <cellStyle name="20% - Accent2 4 2 3" xfId="4933" xr:uid="{00000000-0005-0000-0000-00001E010000}"/>
    <cellStyle name="20% - Accent2 4 2 3 2" xfId="13380" xr:uid="{D2D7C9D6-F7F0-498B-8ED6-A87129ED6CC5}"/>
    <cellStyle name="20% - Accent2 4 2 4" xfId="9165" xr:uid="{CF4D5008-BE52-43C6-B6D0-324D2456E310}"/>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38" xr:uid="{F370F378-0B1E-4FC8-92D7-907DF406D7F8}"/>
    <cellStyle name="20% - Accent2 4 3 2 3" xfId="11723" xr:uid="{B72639A8-8285-485D-9308-D13B19659D1F}"/>
    <cellStyle name="20% - Accent2 4 3 3" xfId="5346" xr:uid="{00000000-0005-0000-0000-000022010000}"/>
    <cellStyle name="20% - Accent2 4 3 3 2" xfId="13793" xr:uid="{081E213B-1684-4381-A2AD-BC8B529C4261}"/>
    <cellStyle name="20% - Accent2 4 3 4" xfId="9578" xr:uid="{7066BB14-E875-41A8-BA55-263F28A6ABAE}"/>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1" xr:uid="{3BDA1CA1-5FF5-4113-B545-459CAC8AFF6D}"/>
    <cellStyle name="20% - Accent2 4 4 2 3" xfId="12136" xr:uid="{684AE344-2553-4B37-ACCE-E330F7164E90}"/>
    <cellStyle name="20% - Accent2 4 4 3" xfId="5759" xr:uid="{00000000-0005-0000-0000-000026010000}"/>
    <cellStyle name="20% - Accent2 4 4 3 2" xfId="14206" xr:uid="{EC02B88A-D73B-4B0E-8B17-C049B90CF191}"/>
    <cellStyle name="20% - Accent2 4 4 4" xfId="9991" xr:uid="{F0597595-30EB-4962-99A6-F70761D5C03C}"/>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4" xr:uid="{624BFE67-36C3-40D9-A8BC-CC5F4BFD4EF1}"/>
    <cellStyle name="20% - Accent2 4 5 2 3" xfId="12549" xr:uid="{1B971E7F-ABE4-4374-8DAE-D593CC30AE64}"/>
    <cellStyle name="20% - Accent2 4 5 3" xfId="6172" xr:uid="{00000000-0005-0000-0000-00002A010000}"/>
    <cellStyle name="20% - Accent2 4 5 3 2" xfId="14619" xr:uid="{492FD544-C711-4B3A-8BCE-31CDA4955B98}"/>
    <cellStyle name="20% - Accent2 4 5 4" xfId="10404" xr:uid="{44ED52AE-85A4-44C2-A9F3-32CF8A871B4E}"/>
    <cellStyle name="20% - Accent2 4 6" xfId="2279" xr:uid="{00000000-0005-0000-0000-00002B010000}"/>
    <cellStyle name="20% - Accent2 4 6 2" xfId="6585" xr:uid="{00000000-0005-0000-0000-00002C010000}"/>
    <cellStyle name="20% - Accent2 4 6 2 2" xfId="15032" xr:uid="{29B09C33-D868-492D-B772-7742F3587C5B}"/>
    <cellStyle name="20% - Accent2 4 6 3" xfId="10817" xr:uid="{B526D387-3656-4DDF-8BCF-6E6C4AB6F2F7}"/>
    <cellStyle name="20% - Accent2 4 7" xfId="4519" xr:uid="{00000000-0005-0000-0000-00002D010000}"/>
    <cellStyle name="20% - Accent2 4 7 2" xfId="12966" xr:uid="{843D6422-2861-4C3C-9E65-4E7A97BFF8E8}"/>
    <cellStyle name="20% - Accent2 4 8" xfId="8751" xr:uid="{0EE216D7-3C0D-4567-9759-A2523ADD4074}"/>
    <cellStyle name="20% - Accent2 5" xfId="578" xr:uid="{00000000-0005-0000-0000-00002E010000}"/>
    <cellStyle name="20% - Accent2 5 2" xfId="2849" xr:uid="{00000000-0005-0000-0000-00002F010000}"/>
    <cellStyle name="20% - Accent2 5 2 2" xfId="7071" xr:uid="{00000000-0005-0000-0000-000030010000}"/>
    <cellStyle name="20% - Accent2 5 2 2 2" xfId="15518" xr:uid="{C2F84257-60BF-4CE5-A899-97D336C0C3B0}"/>
    <cellStyle name="20% - Accent2 5 2 3" xfId="11303" xr:uid="{5A7C68AB-DBE6-49FA-A2B7-04B9B8B346BE}"/>
    <cellStyle name="20% - Accent2 5 3" xfId="4926" xr:uid="{00000000-0005-0000-0000-000031010000}"/>
    <cellStyle name="20% - Accent2 5 3 2" xfId="13373" xr:uid="{A5F9168B-5C18-4B47-A555-96EF0578A647}"/>
    <cellStyle name="20% - Accent2 5 4" xfId="9158" xr:uid="{076A4F13-5A67-4A48-A613-7D575EE0476B}"/>
    <cellStyle name="20% - Accent2 6" xfId="1031" xr:uid="{00000000-0005-0000-0000-000032010000}"/>
    <cellStyle name="20% - Accent2 6 2" xfId="3262" xr:uid="{00000000-0005-0000-0000-000033010000}"/>
    <cellStyle name="20% - Accent2 6 2 2" xfId="7484" xr:uid="{00000000-0005-0000-0000-000034010000}"/>
    <cellStyle name="20% - Accent2 6 2 2 2" xfId="15931" xr:uid="{AAE15D5E-E079-4551-AE6F-44D53F7ACB56}"/>
    <cellStyle name="20% - Accent2 6 2 3" xfId="11716" xr:uid="{DA4A0CA1-D3B5-43B6-9F23-D06C58BFC523}"/>
    <cellStyle name="20% - Accent2 6 3" xfId="5339" xr:uid="{00000000-0005-0000-0000-000035010000}"/>
    <cellStyle name="20% - Accent2 6 3 2" xfId="13786" xr:uid="{ECE9DCFA-9C88-4476-91BD-C28B51548155}"/>
    <cellStyle name="20% - Accent2 6 4" xfId="9571" xr:uid="{921D15BA-A2D4-43FF-8889-E9DFA8222082}"/>
    <cellStyle name="20% - Accent2 7" xfId="1445" xr:uid="{00000000-0005-0000-0000-000036010000}"/>
    <cellStyle name="20% - Accent2 7 2" xfId="3675" xr:uid="{00000000-0005-0000-0000-000037010000}"/>
    <cellStyle name="20% - Accent2 7 2 2" xfId="7897" xr:uid="{00000000-0005-0000-0000-000038010000}"/>
    <cellStyle name="20% - Accent2 7 2 2 2" xfId="16344" xr:uid="{05EA0B37-3643-481A-ACD0-1FA9BE609233}"/>
    <cellStyle name="20% - Accent2 7 2 3" xfId="12129" xr:uid="{3831D541-595D-4868-9268-9D5D167E6937}"/>
    <cellStyle name="20% - Accent2 7 3" xfId="5752" xr:uid="{00000000-0005-0000-0000-000039010000}"/>
    <cellStyle name="20% - Accent2 7 3 2" xfId="14199" xr:uid="{B7F6EEE7-801E-4DC5-B920-CF1CF9BE87AF}"/>
    <cellStyle name="20% - Accent2 7 4" xfId="9984" xr:uid="{40C5893A-49AC-4360-906C-5E649202368B}"/>
    <cellStyle name="20% - Accent2 8" xfId="1859" xr:uid="{00000000-0005-0000-0000-00003A010000}"/>
    <cellStyle name="20% - Accent2 8 2" xfId="4088" xr:uid="{00000000-0005-0000-0000-00003B010000}"/>
    <cellStyle name="20% - Accent2 8 2 2" xfId="8310" xr:uid="{00000000-0005-0000-0000-00003C010000}"/>
    <cellStyle name="20% - Accent2 8 2 2 2" xfId="16757" xr:uid="{7050F9AD-A8A7-4E4C-9C5D-C58159E5BA0D}"/>
    <cellStyle name="20% - Accent2 8 2 3" xfId="12542" xr:uid="{8A9B0CCA-C66B-44D9-B344-F0D286516A0F}"/>
    <cellStyle name="20% - Accent2 8 3" xfId="6165" xr:uid="{00000000-0005-0000-0000-00003D010000}"/>
    <cellStyle name="20% - Accent2 8 3 2" xfId="14612" xr:uid="{5C62245B-9698-41CD-9E52-A35CD164AB32}"/>
    <cellStyle name="20% - Accent2 8 4" xfId="10397" xr:uid="{727FF6D6-E234-4B33-8703-01EE81A065D4}"/>
    <cellStyle name="20% - Accent2 9" xfId="2272" xr:uid="{00000000-0005-0000-0000-00003E010000}"/>
    <cellStyle name="20% - Accent2 9 2" xfId="6578" xr:uid="{00000000-0005-0000-0000-00003F010000}"/>
    <cellStyle name="20% - Accent2 9 2 2" xfId="15025" xr:uid="{787796D4-9EED-4163-BC09-29BDB2DAF342}"/>
    <cellStyle name="20% - Accent2 9 3" xfId="10810" xr:uid="{AD0F649F-02BD-4FF6-B307-3F5C57DD5B74}"/>
    <cellStyle name="20% - Accent3" xfId="17" builtinId="38" customBuiltin="1"/>
    <cellStyle name="20% - Accent3 10" xfId="4520" xr:uid="{00000000-0005-0000-0000-000041010000}"/>
    <cellStyle name="20% - Accent3 10 2" xfId="12967" xr:uid="{405FC906-5F5E-4121-9950-21120E0BECCD}"/>
    <cellStyle name="20% - Accent3 11" xfId="8752" xr:uid="{43024DB4-156E-43F4-BB70-AEBAA4A873B1}"/>
    <cellStyle name="20% - Accent3 2" xfId="18" xr:uid="{00000000-0005-0000-0000-000042010000}"/>
    <cellStyle name="20% - Accent3 2 10" xfId="8753" xr:uid="{B3A4CB89-FC69-4033-AD36-E8E5465452E2}"/>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29" xr:uid="{7CCDD7AA-E500-4AD2-8296-777E03D55663}"/>
    <cellStyle name="20% - Accent3 2 2 2 2 2 3" xfId="11314" xr:uid="{F18EEF97-8679-4F61-AC82-5D5BFEA78F7C}"/>
    <cellStyle name="20% - Accent3 2 2 2 2 3" xfId="4937" xr:uid="{00000000-0005-0000-0000-000048010000}"/>
    <cellStyle name="20% - Accent3 2 2 2 2 3 2" xfId="13384" xr:uid="{4FB64B35-B716-43F8-8D6E-9F96129335E9}"/>
    <cellStyle name="20% - Accent3 2 2 2 2 4" xfId="9169" xr:uid="{8BDB115B-1D69-4D90-995A-713EC380341F}"/>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2" xr:uid="{76139582-D3A7-46E5-AE5E-2D92C620A87D}"/>
    <cellStyle name="20% - Accent3 2 2 2 3 2 3" xfId="11727" xr:uid="{10ACED59-BA4B-4252-9376-322FE6A616A5}"/>
    <cellStyle name="20% - Accent3 2 2 2 3 3" xfId="5350" xr:uid="{00000000-0005-0000-0000-00004C010000}"/>
    <cellStyle name="20% - Accent3 2 2 2 3 3 2" xfId="13797" xr:uid="{C6CF9DC1-19AB-4073-B1DE-4E244EE166EB}"/>
    <cellStyle name="20% - Accent3 2 2 2 3 4" xfId="9582" xr:uid="{A3D1EEF8-57AB-4392-BFFA-E67A7FD8AC4E}"/>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5" xr:uid="{C6B91AF8-FF21-48EA-B0E9-87A1A3A05C11}"/>
    <cellStyle name="20% - Accent3 2 2 2 4 2 3" xfId="12140" xr:uid="{D169F704-6459-43F8-808D-B49B84BB391F}"/>
    <cellStyle name="20% - Accent3 2 2 2 4 3" xfId="5763" xr:uid="{00000000-0005-0000-0000-000050010000}"/>
    <cellStyle name="20% - Accent3 2 2 2 4 3 2" xfId="14210" xr:uid="{82DB53A5-9D3B-4989-895A-A7029F6C4A3F}"/>
    <cellStyle name="20% - Accent3 2 2 2 4 4" xfId="9995" xr:uid="{7F837CC2-4575-4E5E-A781-A2D9D59EC57A}"/>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68" xr:uid="{4F14636C-3B87-4DB2-B189-666378EA78C8}"/>
    <cellStyle name="20% - Accent3 2 2 2 5 2 3" xfId="12553" xr:uid="{89EA54FB-683A-4590-889E-336AE15406E1}"/>
    <cellStyle name="20% - Accent3 2 2 2 5 3" xfId="6176" xr:uid="{00000000-0005-0000-0000-000054010000}"/>
    <cellStyle name="20% - Accent3 2 2 2 5 3 2" xfId="14623" xr:uid="{23CABEF4-580E-4021-B055-0172A1248927}"/>
    <cellStyle name="20% - Accent3 2 2 2 5 4" xfId="10408" xr:uid="{1D550658-A961-43CD-B9CA-8A6C2D838B02}"/>
    <cellStyle name="20% - Accent3 2 2 2 6" xfId="2283" xr:uid="{00000000-0005-0000-0000-000055010000}"/>
    <cellStyle name="20% - Accent3 2 2 2 6 2" xfId="6589" xr:uid="{00000000-0005-0000-0000-000056010000}"/>
    <cellStyle name="20% - Accent3 2 2 2 6 2 2" xfId="15036" xr:uid="{84D51D0E-1747-499E-8795-65A91EBC9244}"/>
    <cellStyle name="20% - Accent3 2 2 2 6 3" xfId="10821" xr:uid="{27AACDA1-83D2-469C-91A3-2A9749D2A7BB}"/>
    <cellStyle name="20% - Accent3 2 2 2 7" xfId="4523" xr:uid="{00000000-0005-0000-0000-000057010000}"/>
    <cellStyle name="20% - Accent3 2 2 2 7 2" xfId="12970" xr:uid="{D7ABB045-86CB-4CC0-AC22-62D482A613D0}"/>
    <cellStyle name="20% - Accent3 2 2 2 8" xfId="8755" xr:uid="{B9DC9C34-24E1-411C-A987-D354DE98AA8B}"/>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28" xr:uid="{C82540FE-C3E5-40AC-8726-6213D06948E7}"/>
    <cellStyle name="20% - Accent3 2 2 3 2 3" xfId="11313" xr:uid="{A67DB48C-8837-44E3-8483-60891BCE4646}"/>
    <cellStyle name="20% - Accent3 2 2 3 3" xfId="4936" xr:uid="{00000000-0005-0000-0000-00005B010000}"/>
    <cellStyle name="20% - Accent3 2 2 3 3 2" xfId="13383" xr:uid="{A91D8230-30EA-476F-8840-C71273CB3989}"/>
    <cellStyle name="20% - Accent3 2 2 3 4" xfId="9168" xr:uid="{D246B93F-F409-4331-A775-EDB9FC66D897}"/>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1" xr:uid="{6BC926B9-A60C-4E32-B616-152FBB96364A}"/>
    <cellStyle name="20% - Accent3 2 2 4 2 3" xfId="11726" xr:uid="{F082AEFB-1EA5-4A6D-96F3-013A438BE39A}"/>
    <cellStyle name="20% - Accent3 2 2 4 3" xfId="5349" xr:uid="{00000000-0005-0000-0000-00005F010000}"/>
    <cellStyle name="20% - Accent3 2 2 4 3 2" xfId="13796" xr:uid="{951D650F-7C56-4C3A-979B-B08BCB91E534}"/>
    <cellStyle name="20% - Accent3 2 2 4 4" xfId="9581" xr:uid="{BBB04A0E-BD5A-4386-927D-B9B4AB047DAC}"/>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4" xr:uid="{3870E0BC-54C7-4985-BD83-0334338E4AE0}"/>
    <cellStyle name="20% - Accent3 2 2 5 2 3" xfId="12139" xr:uid="{FBA0416C-5F74-4623-A879-08AD57AE933C}"/>
    <cellStyle name="20% - Accent3 2 2 5 3" xfId="5762" xr:uid="{00000000-0005-0000-0000-000063010000}"/>
    <cellStyle name="20% - Accent3 2 2 5 3 2" xfId="14209" xr:uid="{E9333DCA-96E6-421F-B428-1C18A7FE914D}"/>
    <cellStyle name="20% - Accent3 2 2 5 4" xfId="9994" xr:uid="{4C60BE91-2452-43EB-ACC4-1F717138C3A5}"/>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67" xr:uid="{F98E523F-C406-49F4-B654-BA66A4531E59}"/>
    <cellStyle name="20% - Accent3 2 2 6 2 3" xfId="12552" xr:uid="{B5F9119C-D8C4-4D3F-984E-89C030CFF7F5}"/>
    <cellStyle name="20% - Accent3 2 2 6 3" xfId="6175" xr:uid="{00000000-0005-0000-0000-000067010000}"/>
    <cellStyle name="20% - Accent3 2 2 6 3 2" xfId="14622" xr:uid="{BCB81877-212B-4E3C-BE6F-0AA926E6DF69}"/>
    <cellStyle name="20% - Accent3 2 2 6 4" xfId="10407" xr:uid="{AC16E465-82EA-4B82-84F9-FAB135286330}"/>
    <cellStyle name="20% - Accent3 2 2 7" xfId="2282" xr:uid="{00000000-0005-0000-0000-000068010000}"/>
    <cellStyle name="20% - Accent3 2 2 7 2" xfId="6588" xr:uid="{00000000-0005-0000-0000-000069010000}"/>
    <cellStyle name="20% - Accent3 2 2 7 2 2" xfId="15035" xr:uid="{2C0B07CE-0215-40BB-819C-C1282D6E43E8}"/>
    <cellStyle name="20% - Accent3 2 2 7 3" xfId="10820" xr:uid="{7C7DCC07-40CB-4C7D-A1B6-27781216E588}"/>
    <cellStyle name="20% - Accent3 2 2 8" xfId="4522" xr:uid="{00000000-0005-0000-0000-00006A010000}"/>
    <cellStyle name="20% - Accent3 2 2 8 2" xfId="12969" xr:uid="{15508A00-E7CA-4FEB-983B-137E9DEC87AC}"/>
    <cellStyle name="20% - Accent3 2 2 9" xfId="8754" xr:uid="{CD6E9A90-485A-46CE-B032-6C477D3012B1}"/>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0" xr:uid="{95FB1CB5-61E2-415C-BA19-285C1329AFA9}"/>
    <cellStyle name="20% - Accent3 2 3 2 2 3" xfId="11315" xr:uid="{D8F32265-2965-46A3-9AAD-CEBC5BB758FC}"/>
    <cellStyle name="20% - Accent3 2 3 2 3" xfId="4938" xr:uid="{00000000-0005-0000-0000-00006F010000}"/>
    <cellStyle name="20% - Accent3 2 3 2 3 2" xfId="13385" xr:uid="{5CB49100-385F-4D5B-BB54-7693B58B464C}"/>
    <cellStyle name="20% - Accent3 2 3 2 4" xfId="9170" xr:uid="{79BFA6F5-8E45-44AA-B9B3-0427E2817421}"/>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3" xr:uid="{EAC3427C-1128-449F-96DB-84438A55AEDF}"/>
    <cellStyle name="20% - Accent3 2 3 3 2 3" xfId="11728" xr:uid="{0A955351-DF50-44D3-9C24-312AA6039C15}"/>
    <cellStyle name="20% - Accent3 2 3 3 3" xfId="5351" xr:uid="{00000000-0005-0000-0000-000073010000}"/>
    <cellStyle name="20% - Accent3 2 3 3 3 2" xfId="13798" xr:uid="{03F2AF19-57E7-42C4-B5BD-BF831D245BF3}"/>
    <cellStyle name="20% - Accent3 2 3 3 4" xfId="9583" xr:uid="{80BB956F-18BC-4B9C-AF0E-7BDA36A22504}"/>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6" xr:uid="{A5E9FF07-823F-41BF-B1DF-48F2EBF192DC}"/>
    <cellStyle name="20% - Accent3 2 3 4 2 3" xfId="12141" xr:uid="{0FD58234-B6C5-4CDD-9D97-38E54F4547EB}"/>
    <cellStyle name="20% - Accent3 2 3 4 3" xfId="5764" xr:uid="{00000000-0005-0000-0000-000077010000}"/>
    <cellStyle name="20% - Accent3 2 3 4 3 2" xfId="14211" xr:uid="{24A7096A-6449-4CEE-9269-9E42E0DE4BD5}"/>
    <cellStyle name="20% - Accent3 2 3 4 4" xfId="9996" xr:uid="{2028BEC6-4303-4D47-9502-00C7B49F5708}"/>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69" xr:uid="{DCA35A0F-475D-4434-BD8A-7F431FB30BB4}"/>
    <cellStyle name="20% - Accent3 2 3 5 2 3" xfId="12554" xr:uid="{46011B32-A0C3-47D1-88CF-F26D18E1BE42}"/>
    <cellStyle name="20% - Accent3 2 3 5 3" xfId="6177" xr:uid="{00000000-0005-0000-0000-00007B010000}"/>
    <cellStyle name="20% - Accent3 2 3 5 3 2" xfId="14624" xr:uid="{537F3EC6-D36E-4D95-8844-38BCEA33F9BF}"/>
    <cellStyle name="20% - Accent3 2 3 5 4" xfId="10409" xr:uid="{8CB7BF99-FD56-40EB-904B-D0CFB97882C2}"/>
    <cellStyle name="20% - Accent3 2 3 6" xfId="2284" xr:uid="{00000000-0005-0000-0000-00007C010000}"/>
    <cellStyle name="20% - Accent3 2 3 6 2" xfId="6590" xr:uid="{00000000-0005-0000-0000-00007D010000}"/>
    <cellStyle name="20% - Accent3 2 3 6 2 2" xfId="15037" xr:uid="{992E195D-751B-4171-B340-6B8131207B62}"/>
    <cellStyle name="20% - Accent3 2 3 6 3" xfId="10822" xr:uid="{5B38BFF2-04AE-407F-9097-A379407A20C7}"/>
    <cellStyle name="20% - Accent3 2 3 7" xfId="4524" xr:uid="{00000000-0005-0000-0000-00007E010000}"/>
    <cellStyle name="20% - Accent3 2 3 7 2" xfId="12971" xr:uid="{9394D984-A28A-417B-8CEC-F38125F7CCE8}"/>
    <cellStyle name="20% - Accent3 2 3 8" xfId="8756" xr:uid="{CACD4F7C-1112-4631-A150-618334FD7263}"/>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27" xr:uid="{8B2BB2AE-F53D-4F3C-A449-C11B3E7CB8E1}"/>
    <cellStyle name="20% - Accent3 2 4 2 3" xfId="11312" xr:uid="{E510B0D5-49A0-4253-B166-7B8922C6B3CA}"/>
    <cellStyle name="20% - Accent3 2 4 3" xfId="4935" xr:uid="{00000000-0005-0000-0000-000082010000}"/>
    <cellStyle name="20% - Accent3 2 4 3 2" xfId="13382" xr:uid="{686CFA73-6BEA-4324-937A-DC3300AC6DE3}"/>
    <cellStyle name="20% - Accent3 2 4 4" xfId="9167" xr:uid="{0BD837CB-8B49-45CD-8514-CB99FFC8F652}"/>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0" xr:uid="{A29B1886-C8F0-4D50-BA08-D2C5551073A9}"/>
    <cellStyle name="20% - Accent3 2 5 2 3" xfId="11725" xr:uid="{C052B985-0392-415D-8F7D-076F47FDA93D}"/>
    <cellStyle name="20% - Accent3 2 5 3" xfId="5348" xr:uid="{00000000-0005-0000-0000-000086010000}"/>
    <cellStyle name="20% - Accent3 2 5 3 2" xfId="13795" xr:uid="{13C423E5-ACF9-4A9D-9117-69C436D3A9D6}"/>
    <cellStyle name="20% - Accent3 2 5 4" xfId="9580" xr:uid="{12D413D8-2EB0-4AE7-ACC4-FBCD633BD064}"/>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3" xr:uid="{3FEFCD03-E0AD-4AAB-87AF-64577048F26C}"/>
    <cellStyle name="20% - Accent3 2 6 2 3" xfId="12138" xr:uid="{020B8315-E0C4-4187-AAC9-77BEB3DC3338}"/>
    <cellStyle name="20% - Accent3 2 6 3" xfId="5761" xr:uid="{00000000-0005-0000-0000-00008A010000}"/>
    <cellStyle name="20% - Accent3 2 6 3 2" xfId="14208" xr:uid="{683AF11A-8D14-49BA-ABFB-6B3670F0131B}"/>
    <cellStyle name="20% - Accent3 2 6 4" xfId="9993" xr:uid="{E8837B00-1D27-4E13-B1D0-F85CF68CB64D}"/>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6" xr:uid="{B9A843F7-64F5-46C9-9324-5F71923C17D7}"/>
    <cellStyle name="20% - Accent3 2 7 2 3" xfId="12551" xr:uid="{2B5555AA-3E5A-4B6D-9073-B5AE7CD354EB}"/>
    <cellStyle name="20% - Accent3 2 7 3" xfId="6174" xr:uid="{00000000-0005-0000-0000-00008E010000}"/>
    <cellStyle name="20% - Accent3 2 7 3 2" xfId="14621" xr:uid="{5CFAD70D-FF8B-431C-BF86-789B1BACFFAA}"/>
    <cellStyle name="20% - Accent3 2 7 4" xfId="10406" xr:uid="{409F2B93-6FDD-460F-A956-C7618FA18322}"/>
    <cellStyle name="20% - Accent3 2 8" xfId="2281" xr:uid="{00000000-0005-0000-0000-00008F010000}"/>
    <cellStyle name="20% - Accent3 2 8 2" xfId="6587" xr:uid="{00000000-0005-0000-0000-000090010000}"/>
    <cellStyle name="20% - Accent3 2 8 2 2" xfId="15034" xr:uid="{BD9CAE91-5276-4840-B982-DA762EACE8FD}"/>
    <cellStyle name="20% - Accent3 2 8 3" xfId="10819" xr:uid="{A9F46951-0640-4315-B204-CAFEE20C45C4}"/>
    <cellStyle name="20% - Accent3 2 9" xfId="4521" xr:uid="{00000000-0005-0000-0000-000091010000}"/>
    <cellStyle name="20% - Accent3 2 9 2" xfId="12968" xr:uid="{4391751C-83FC-4CCE-989E-777AC31BC761}"/>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2" xr:uid="{6C3BBDE5-AA7F-437D-8FE4-9FF3876D5655}"/>
    <cellStyle name="20% - Accent3 3 2 2 2 3" xfId="11317" xr:uid="{FD4CA49B-519B-4A74-87EF-6C48B08C162A}"/>
    <cellStyle name="20% - Accent3 3 2 2 3" xfId="4940" xr:uid="{00000000-0005-0000-0000-000097010000}"/>
    <cellStyle name="20% - Accent3 3 2 2 3 2" xfId="13387" xr:uid="{ACD69767-D81D-41A4-B773-0BEEA639D679}"/>
    <cellStyle name="20% - Accent3 3 2 2 4" xfId="9172" xr:uid="{F994B30B-AB52-4034-BBAB-D5AE83B7D053}"/>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5" xr:uid="{361C331A-EA16-4901-9AFB-57CBDFE6C156}"/>
    <cellStyle name="20% - Accent3 3 2 3 2 3" xfId="11730" xr:uid="{0170ED48-6ECF-45F0-BD78-63AB317ABBF5}"/>
    <cellStyle name="20% - Accent3 3 2 3 3" xfId="5353" xr:uid="{00000000-0005-0000-0000-00009B010000}"/>
    <cellStyle name="20% - Accent3 3 2 3 3 2" xfId="13800" xr:uid="{C377B63A-5ABE-428D-B9CE-B5785D32E9AE}"/>
    <cellStyle name="20% - Accent3 3 2 3 4" xfId="9585" xr:uid="{48D954CB-B180-44EE-B979-FB8B00895BFB}"/>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58" xr:uid="{AEC47A82-CB6D-44A3-B0E8-E105182036C7}"/>
    <cellStyle name="20% - Accent3 3 2 4 2 3" xfId="12143" xr:uid="{1F1EEF86-9C4A-450F-91DE-4E66DA7F7004}"/>
    <cellStyle name="20% - Accent3 3 2 4 3" xfId="5766" xr:uid="{00000000-0005-0000-0000-00009F010000}"/>
    <cellStyle name="20% - Accent3 3 2 4 3 2" xfId="14213" xr:uid="{366BB659-AB5B-4760-886F-BFC9A425DA5D}"/>
    <cellStyle name="20% - Accent3 3 2 4 4" xfId="9998" xr:uid="{1A21DCC3-66F8-410E-AFC5-5CA933378C21}"/>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1" xr:uid="{95A4854D-CB15-4276-AE57-67037A7B5AC1}"/>
    <cellStyle name="20% - Accent3 3 2 5 2 3" xfId="12556" xr:uid="{617B3393-FDFF-47BB-BE86-74E61E542BCC}"/>
    <cellStyle name="20% - Accent3 3 2 5 3" xfId="6179" xr:uid="{00000000-0005-0000-0000-0000A3010000}"/>
    <cellStyle name="20% - Accent3 3 2 5 3 2" xfId="14626" xr:uid="{D7A5BEB3-D5FD-41CD-9EE9-93790F898EC2}"/>
    <cellStyle name="20% - Accent3 3 2 5 4" xfId="10411" xr:uid="{1D23D3E9-6EDB-4B0D-B81E-169744D061D0}"/>
    <cellStyle name="20% - Accent3 3 2 6" xfId="2286" xr:uid="{00000000-0005-0000-0000-0000A4010000}"/>
    <cellStyle name="20% - Accent3 3 2 6 2" xfId="6592" xr:uid="{00000000-0005-0000-0000-0000A5010000}"/>
    <cellStyle name="20% - Accent3 3 2 6 2 2" xfId="15039" xr:uid="{1882D7C5-C344-49F5-B1E8-1DC0E7ED3F66}"/>
    <cellStyle name="20% - Accent3 3 2 6 3" xfId="10824" xr:uid="{D5D66BE7-90F4-4728-A134-6E9715D7FB4B}"/>
    <cellStyle name="20% - Accent3 3 2 7" xfId="4526" xr:uid="{00000000-0005-0000-0000-0000A6010000}"/>
    <cellStyle name="20% - Accent3 3 2 7 2" xfId="12973" xr:uid="{87E5206C-DB2D-44DB-8762-B88EE8A631AA}"/>
    <cellStyle name="20% - Accent3 3 2 8" xfId="8758" xr:uid="{02216A1C-0758-41B5-93B4-1F6DA5BBB847}"/>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1" xr:uid="{51F82EA6-EAC9-42AE-BCA7-31DB85B8623B}"/>
    <cellStyle name="20% - Accent3 3 3 2 3" xfId="11316" xr:uid="{67BDDA08-4D36-453C-9058-5E9BEFC3838F}"/>
    <cellStyle name="20% - Accent3 3 3 3" xfId="4939" xr:uid="{00000000-0005-0000-0000-0000AA010000}"/>
    <cellStyle name="20% - Accent3 3 3 3 2" xfId="13386" xr:uid="{71ECFAEF-39DA-4403-89F3-524AEA5C64D5}"/>
    <cellStyle name="20% - Accent3 3 3 4" xfId="9171" xr:uid="{8099E780-C631-4AE8-A133-4AD84D519A3F}"/>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4" xr:uid="{DCB35B94-39BF-482E-B0CA-C5C9BA4F3CD4}"/>
    <cellStyle name="20% - Accent3 3 4 2 3" xfId="11729" xr:uid="{B0243BDE-924E-4F47-9A83-4F15FA02D1FD}"/>
    <cellStyle name="20% - Accent3 3 4 3" xfId="5352" xr:uid="{00000000-0005-0000-0000-0000AE010000}"/>
    <cellStyle name="20% - Accent3 3 4 3 2" xfId="13799" xr:uid="{8E6EF2ED-1D5E-4CC1-AADA-B64B7D97A780}"/>
    <cellStyle name="20% - Accent3 3 4 4" xfId="9584" xr:uid="{3F3016BA-09A3-44F0-84C3-61AB10ACE484}"/>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57" xr:uid="{C200EE6C-C12C-458A-AD7F-D4C8949B40DD}"/>
    <cellStyle name="20% - Accent3 3 5 2 3" xfId="12142" xr:uid="{AF2A3C5E-C6ED-4152-A12F-195A3D21AB64}"/>
    <cellStyle name="20% - Accent3 3 5 3" xfId="5765" xr:uid="{00000000-0005-0000-0000-0000B2010000}"/>
    <cellStyle name="20% - Accent3 3 5 3 2" xfId="14212" xr:uid="{2750A6B5-99B1-434F-8EC8-49143C7925F5}"/>
    <cellStyle name="20% - Accent3 3 5 4" xfId="9997" xr:uid="{AA204DBC-16FD-4AED-A590-BE9F686E787A}"/>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0" xr:uid="{19AC71CF-B9A3-4A71-B2B6-C0DA9DC5FF6A}"/>
    <cellStyle name="20% - Accent3 3 6 2 3" xfId="12555" xr:uid="{F1E0ACEE-B604-4636-B938-61B8B3D16692}"/>
    <cellStyle name="20% - Accent3 3 6 3" xfId="6178" xr:uid="{00000000-0005-0000-0000-0000B6010000}"/>
    <cellStyle name="20% - Accent3 3 6 3 2" xfId="14625" xr:uid="{A7BD6E67-D07C-40B1-BAF6-A83D7A814645}"/>
    <cellStyle name="20% - Accent3 3 6 4" xfId="10410" xr:uid="{9C22359A-B988-4A3C-811E-99043CB0397F}"/>
    <cellStyle name="20% - Accent3 3 7" xfId="2285" xr:uid="{00000000-0005-0000-0000-0000B7010000}"/>
    <cellStyle name="20% - Accent3 3 7 2" xfId="6591" xr:uid="{00000000-0005-0000-0000-0000B8010000}"/>
    <cellStyle name="20% - Accent3 3 7 2 2" xfId="15038" xr:uid="{D554AD42-F909-4D43-9CDA-DD6B8F69232C}"/>
    <cellStyle name="20% - Accent3 3 7 3" xfId="10823" xr:uid="{51407CC9-7BC2-4DA0-BD98-F6F9EC1DC1B7}"/>
    <cellStyle name="20% - Accent3 3 8" xfId="4525" xr:uid="{00000000-0005-0000-0000-0000B9010000}"/>
    <cellStyle name="20% - Accent3 3 8 2" xfId="12972" xr:uid="{FCDABD4C-4D07-48F9-8DCC-65F08AA8FBC9}"/>
    <cellStyle name="20% - Accent3 3 9" xfId="8757" xr:uid="{E4D75FA9-AA25-41FA-B59F-6F23E13B8F3F}"/>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3" xr:uid="{1E6CB6A2-040D-4D9C-A733-10ED0B1385D6}"/>
    <cellStyle name="20% - Accent3 4 2 2 3" xfId="11318" xr:uid="{E2307C62-1556-4851-ADEA-D17F142A9048}"/>
    <cellStyle name="20% - Accent3 4 2 3" xfId="4941" xr:uid="{00000000-0005-0000-0000-0000BE010000}"/>
    <cellStyle name="20% - Accent3 4 2 3 2" xfId="13388" xr:uid="{C61441D6-8233-4979-A981-F37B5BB69193}"/>
    <cellStyle name="20% - Accent3 4 2 4" xfId="9173" xr:uid="{71C09FE4-ECB1-43B9-B4DF-AAE8FBD7A923}"/>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6" xr:uid="{81100E76-C2EB-445C-92E2-B92E779DBB61}"/>
    <cellStyle name="20% - Accent3 4 3 2 3" xfId="11731" xr:uid="{CC614ACC-9BF3-4C80-9BEB-8594F1674668}"/>
    <cellStyle name="20% - Accent3 4 3 3" xfId="5354" xr:uid="{00000000-0005-0000-0000-0000C2010000}"/>
    <cellStyle name="20% - Accent3 4 3 3 2" xfId="13801" xr:uid="{12314403-5761-4DA0-96E7-57763B5913B4}"/>
    <cellStyle name="20% - Accent3 4 3 4" xfId="9586" xr:uid="{4DA6D47B-0A95-45AF-8D95-1CA56F9892B4}"/>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59" xr:uid="{F4217925-6FB1-44DC-861A-2DC9BFA29093}"/>
    <cellStyle name="20% - Accent3 4 4 2 3" xfId="12144" xr:uid="{B492F43E-0102-4C32-B60F-034ED37B2BD1}"/>
    <cellStyle name="20% - Accent3 4 4 3" xfId="5767" xr:uid="{00000000-0005-0000-0000-0000C6010000}"/>
    <cellStyle name="20% - Accent3 4 4 3 2" xfId="14214" xr:uid="{40AE1F6D-9298-417E-AAC2-48E89E5649AB}"/>
    <cellStyle name="20% - Accent3 4 4 4" xfId="9999" xr:uid="{CB4880FA-24FF-441B-A30F-F473C59AE0ED}"/>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2" xr:uid="{A0F53F01-0AA3-4763-B2F2-4ECFCD631E06}"/>
    <cellStyle name="20% - Accent3 4 5 2 3" xfId="12557" xr:uid="{C5E5A889-F5C3-4159-BF74-2EA9499B872E}"/>
    <cellStyle name="20% - Accent3 4 5 3" xfId="6180" xr:uid="{00000000-0005-0000-0000-0000CA010000}"/>
    <cellStyle name="20% - Accent3 4 5 3 2" xfId="14627" xr:uid="{9987A426-CF1F-4023-8E91-CEA62FB8C10C}"/>
    <cellStyle name="20% - Accent3 4 5 4" xfId="10412" xr:uid="{B09E65A3-44F7-4454-9B0E-BC76A6426566}"/>
    <cellStyle name="20% - Accent3 4 6" xfId="2287" xr:uid="{00000000-0005-0000-0000-0000CB010000}"/>
    <cellStyle name="20% - Accent3 4 6 2" xfId="6593" xr:uid="{00000000-0005-0000-0000-0000CC010000}"/>
    <cellStyle name="20% - Accent3 4 6 2 2" xfId="15040" xr:uid="{50E5A041-3E3E-4452-A8A5-B7BC6738ECAF}"/>
    <cellStyle name="20% - Accent3 4 6 3" xfId="10825" xr:uid="{97993B98-993A-493E-A71F-A8F2A0F4B2C3}"/>
    <cellStyle name="20% - Accent3 4 7" xfId="4527" xr:uid="{00000000-0005-0000-0000-0000CD010000}"/>
    <cellStyle name="20% - Accent3 4 7 2" xfId="12974" xr:uid="{7A0E3B23-7BEC-403E-A164-95804A0D02EA}"/>
    <cellStyle name="20% - Accent3 4 8" xfId="8759" xr:uid="{3AAFFB1D-4A75-4692-99F7-8B405D1D58E6}"/>
    <cellStyle name="20% - Accent3 5" xfId="586" xr:uid="{00000000-0005-0000-0000-0000CE010000}"/>
    <cellStyle name="20% - Accent3 5 2" xfId="2857" xr:uid="{00000000-0005-0000-0000-0000CF010000}"/>
    <cellStyle name="20% - Accent3 5 2 2" xfId="7079" xr:uid="{00000000-0005-0000-0000-0000D0010000}"/>
    <cellStyle name="20% - Accent3 5 2 2 2" xfId="15526" xr:uid="{721B07D9-FF16-4A9D-9B80-1114644E53D2}"/>
    <cellStyle name="20% - Accent3 5 2 3" xfId="11311" xr:uid="{A193C3A0-0ADC-4BBE-85F0-57A41136A321}"/>
    <cellStyle name="20% - Accent3 5 3" xfId="4934" xr:uid="{00000000-0005-0000-0000-0000D1010000}"/>
    <cellStyle name="20% - Accent3 5 3 2" xfId="13381" xr:uid="{B9564172-D2E1-466B-8ED0-A5A6EF4C2370}"/>
    <cellStyle name="20% - Accent3 5 4" xfId="9166" xr:uid="{BF46FA0A-8027-44D4-88CC-914E056D6DA4}"/>
    <cellStyle name="20% - Accent3 6" xfId="1039" xr:uid="{00000000-0005-0000-0000-0000D2010000}"/>
    <cellStyle name="20% - Accent3 6 2" xfId="3270" xr:uid="{00000000-0005-0000-0000-0000D3010000}"/>
    <cellStyle name="20% - Accent3 6 2 2" xfId="7492" xr:uid="{00000000-0005-0000-0000-0000D4010000}"/>
    <cellStyle name="20% - Accent3 6 2 2 2" xfId="15939" xr:uid="{BF708863-90B7-4B77-BF4C-84F6DF978BBF}"/>
    <cellStyle name="20% - Accent3 6 2 3" xfId="11724" xr:uid="{478F8680-B3F2-4BE5-9BE0-871C3DDC95A3}"/>
    <cellStyle name="20% - Accent3 6 3" xfId="5347" xr:uid="{00000000-0005-0000-0000-0000D5010000}"/>
    <cellStyle name="20% - Accent3 6 3 2" xfId="13794" xr:uid="{E5373714-3F26-495E-9C20-01C5AAD6FB1F}"/>
    <cellStyle name="20% - Accent3 6 4" xfId="9579" xr:uid="{5115A9F6-4300-4860-9DA3-BC92A17A9F04}"/>
    <cellStyle name="20% - Accent3 7" xfId="1453" xr:uid="{00000000-0005-0000-0000-0000D6010000}"/>
    <cellStyle name="20% - Accent3 7 2" xfId="3683" xr:uid="{00000000-0005-0000-0000-0000D7010000}"/>
    <cellStyle name="20% - Accent3 7 2 2" xfId="7905" xr:uid="{00000000-0005-0000-0000-0000D8010000}"/>
    <cellStyle name="20% - Accent3 7 2 2 2" xfId="16352" xr:uid="{CC5FB6BA-577B-4091-90E9-8498F32A29A3}"/>
    <cellStyle name="20% - Accent3 7 2 3" xfId="12137" xr:uid="{12707353-3F81-4315-A09C-4B43ED1FACEF}"/>
    <cellStyle name="20% - Accent3 7 3" xfId="5760" xr:uid="{00000000-0005-0000-0000-0000D9010000}"/>
    <cellStyle name="20% - Accent3 7 3 2" xfId="14207" xr:uid="{AA157B19-0D14-445F-A36C-83C3FE78FFE2}"/>
    <cellStyle name="20% - Accent3 7 4" xfId="9992" xr:uid="{2558E7D8-8D6A-41B1-8F20-5B22174E2E7A}"/>
    <cellStyle name="20% - Accent3 8" xfId="1867" xr:uid="{00000000-0005-0000-0000-0000DA010000}"/>
    <cellStyle name="20% - Accent3 8 2" xfId="4096" xr:uid="{00000000-0005-0000-0000-0000DB010000}"/>
    <cellStyle name="20% - Accent3 8 2 2" xfId="8318" xr:uid="{00000000-0005-0000-0000-0000DC010000}"/>
    <cellStyle name="20% - Accent3 8 2 2 2" xfId="16765" xr:uid="{3B110396-C2C0-42A5-A470-B1E35E514CF4}"/>
    <cellStyle name="20% - Accent3 8 2 3" xfId="12550" xr:uid="{C57AA37C-0E62-44C5-B7A5-94C7DE2A6992}"/>
    <cellStyle name="20% - Accent3 8 3" xfId="6173" xr:uid="{00000000-0005-0000-0000-0000DD010000}"/>
    <cellStyle name="20% - Accent3 8 3 2" xfId="14620" xr:uid="{32395AA3-451F-46EB-9789-76447670C27A}"/>
    <cellStyle name="20% - Accent3 8 4" xfId="10405" xr:uid="{334D14A9-6803-4C2F-87D8-689447D041E2}"/>
    <cellStyle name="20% - Accent3 9" xfId="2280" xr:uid="{00000000-0005-0000-0000-0000DE010000}"/>
    <cellStyle name="20% - Accent3 9 2" xfId="6586" xr:uid="{00000000-0005-0000-0000-0000DF010000}"/>
    <cellStyle name="20% - Accent3 9 2 2" xfId="15033" xr:uid="{2414ACDE-1AC5-4995-8630-CA303FCE19E2}"/>
    <cellStyle name="20% - Accent3 9 3" xfId="10818" xr:uid="{5E0BBC55-3AC9-4ADF-B024-32E3C55311BF}"/>
    <cellStyle name="20% - Accent4" xfId="25" builtinId="42" customBuiltin="1"/>
    <cellStyle name="20% - Accent4 10" xfId="4528" xr:uid="{00000000-0005-0000-0000-0000E1010000}"/>
    <cellStyle name="20% - Accent4 10 2" xfId="12975" xr:uid="{5C5A99CE-5D69-4397-999E-EAA048B6736F}"/>
    <cellStyle name="20% - Accent4 11" xfId="8760" xr:uid="{849CA93C-ABAA-49EB-9A86-C7BEA4A81166}"/>
    <cellStyle name="20% - Accent4 2" xfId="26" xr:uid="{00000000-0005-0000-0000-0000E2010000}"/>
    <cellStyle name="20% - Accent4 2 10" xfId="8761" xr:uid="{C08063B9-DDA1-489E-82E0-0E2136F8E0F8}"/>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37" xr:uid="{72D9BAAC-170E-47D3-A248-DA82F3E36583}"/>
    <cellStyle name="20% - Accent4 2 2 2 2 2 3" xfId="11322" xr:uid="{57A65121-25AE-47BB-B545-43AB0EB0FFF6}"/>
    <cellStyle name="20% - Accent4 2 2 2 2 3" xfId="4945" xr:uid="{00000000-0005-0000-0000-0000E8010000}"/>
    <cellStyle name="20% - Accent4 2 2 2 2 3 2" xfId="13392" xr:uid="{F3988BF3-6C89-4FA4-B163-0F8BF4EAEC5D}"/>
    <cellStyle name="20% - Accent4 2 2 2 2 4" xfId="9177" xr:uid="{D0AEC22A-9745-4DB4-89D0-87F2983BE9EF}"/>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0" xr:uid="{1634B4AE-94B0-4241-B498-E6529C7B8B34}"/>
    <cellStyle name="20% - Accent4 2 2 2 3 2 3" xfId="11735" xr:uid="{1A265138-8DEC-4DEA-89CA-353EC108075B}"/>
    <cellStyle name="20% - Accent4 2 2 2 3 3" xfId="5358" xr:uid="{00000000-0005-0000-0000-0000EC010000}"/>
    <cellStyle name="20% - Accent4 2 2 2 3 3 2" xfId="13805" xr:uid="{88D0C21B-CADA-41C2-9E19-6954E2A7C0B8}"/>
    <cellStyle name="20% - Accent4 2 2 2 3 4" xfId="9590" xr:uid="{A609F8F4-A096-4EE3-A3D8-388212944684}"/>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3" xr:uid="{0F52B7B8-94D9-4F13-8C9E-5A0042EDB7C0}"/>
    <cellStyle name="20% - Accent4 2 2 2 4 2 3" xfId="12148" xr:uid="{CB88451D-2ED9-43AA-AE38-02E23F3D1D55}"/>
    <cellStyle name="20% - Accent4 2 2 2 4 3" xfId="5771" xr:uid="{00000000-0005-0000-0000-0000F0010000}"/>
    <cellStyle name="20% - Accent4 2 2 2 4 3 2" xfId="14218" xr:uid="{8C6AFAEF-017C-48A5-900C-74A0BDBB334C}"/>
    <cellStyle name="20% - Accent4 2 2 2 4 4" xfId="10003" xr:uid="{650DEAE2-CAF5-4B98-9EF6-0D2F00AA9DAE}"/>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6" xr:uid="{0DE8D59D-88A8-4812-99D6-5544C6C6E2D5}"/>
    <cellStyle name="20% - Accent4 2 2 2 5 2 3" xfId="12561" xr:uid="{469A50CA-0EA5-4F97-8A9B-77FF6BE2661D}"/>
    <cellStyle name="20% - Accent4 2 2 2 5 3" xfId="6184" xr:uid="{00000000-0005-0000-0000-0000F4010000}"/>
    <cellStyle name="20% - Accent4 2 2 2 5 3 2" xfId="14631" xr:uid="{02F6865A-1C8B-451A-97C5-006725818BF5}"/>
    <cellStyle name="20% - Accent4 2 2 2 5 4" xfId="10416" xr:uid="{CBDBDCA7-A1E5-49E7-9BE4-8502BEFE08BB}"/>
    <cellStyle name="20% - Accent4 2 2 2 6" xfId="2291" xr:uid="{00000000-0005-0000-0000-0000F5010000}"/>
    <cellStyle name="20% - Accent4 2 2 2 6 2" xfId="6597" xr:uid="{00000000-0005-0000-0000-0000F6010000}"/>
    <cellStyle name="20% - Accent4 2 2 2 6 2 2" xfId="15044" xr:uid="{28E3DE08-5452-45ED-ACFE-471C5CF8525D}"/>
    <cellStyle name="20% - Accent4 2 2 2 6 3" xfId="10829" xr:uid="{D24CCA47-ED4E-4771-B96D-970ED25C0162}"/>
    <cellStyle name="20% - Accent4 2 2 2 7" xfId="4531" xr:uid="{00000000-0005-0000-0000-0000F7010000}"/>
    <cellStyle name="20% - Accent4 2 2 2 7 2" xfId="12978" xr:uid="{AB74C8C3-BE91-4110-8C16-ACF9D133373C}"/>
    <cellStyle name="20% - Accent4 2 2 2 8" xfId="8763" xr:uid="{B2B2577F-AC76-4CFE-B197-65A1AF126B71}"/>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6" xr:uid="{CE44DE2D-76B2-447A-B769-181817A3511E}"/>
    <cellStyle name="20% - Accent4 2 2 3 2 3" xfId="11321" xr:uid="{71E6919D-3922-4484-BB78-7131ACC98EF5}"/>
    <cellStyle name="20% - Accent4 2 2 3 3" xfId="4944" xr:uid="{00000000-0005-0000-0000-0000FB010000}"/>
    <cellStyle name="20% - Accent4 2 2 3 3 2" xfId="13391" xr:uid="{CE4B5CE9-F04E-47A2-8ACD-0AEE1AACBA22}"/>
    <cellStyle name="20% - Accent4 2 2 3 4" xfId="9176" xr:uid="{5A3DCFF5-92C6-4D35-89D0-62280E24412F}"/>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49" xr:uid="{067F4575-B2B4-49F6-A7B3-BAA887CFC568}"/>
    <cellStyle name="20% - Accent4 2 2 4 2 3" xfId="11734" xr:uid="{A0998C30-F386-4F19-9C04-F6D3399C7E2F}"/>
    <cellStyle name="20% - Accent4 2 2 4 3" xfId="5357" xr:uid="{00000000-0005-0000-0000-0000FF010000}"/>
    <cellStyle name="20% - Accent4 2 2 4 3 2" xfId="13804" xr:uid="{A0BCDC23-476B-4B6E-8125-23D7E361FAB0}"/>
    <cellStyle name="20% - Accent4 2 2 4 4" xfId="9589" xr:uid="{D841238B-FFB2-4469-8529-EEF5D3624A4C}"/>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2" xr:uid="{7013DEC8-F0C8-4B40-9257-72A1B3348CBF}"/>
    <cellStyle name="20% - Accent4 2 2 5 2 3" xfId="12147" xr:uid="{5465B464-E950-465E-B93F-9C0901810FB2}"/>
    <cellStyle name="20% - Accent4 2 2 5 3" xfId="5770" xr:uid="{00000000-0005-0000-0000-000003020000}"/>
    <cellStyle name="20% - Accent4 2 2 5 3 2" xfId="14217" xr:uid="{CE04C138-7FE7-4A35-A498-FCA82AB44928}"/>
    <cellStyle name="20% - Accent4 2 2 5 4" xfId="10002" xr:uid="{E7A77092-D216-49FA-94DC-CEC4BD5CDF78}"/>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5" xr:uid="{6963019F-3E9F-4E66-AC9E-A1F4F7B43EF3}"/>
    <cellStyle name="20% - Accent4 2 2 6 2 3" xfId="12560" xr:uid="{D9897079-1761-43B3-8420-948CAAEEC1D2}"/>
    <cellStyle name="20% - Accent4 2 2 6 3" xfId="6183" xr:uid="{00000000-0005-0000-0000-000007020000}"/>
    <cellStyle name="20% - Accent4 2 2 6 3 2" xfId="14630" xr:uid="{6603EB3C-9085-4CF8-92C9-DE4BD4D81ED0}"/>
    <cellStyle name="20% - Accent4 2 2 6 4" xfId="10415" xr:uid="{8C7EA787-3E27-4A87-920D-4527ED7C038B}"/>
    <cellStyle name="20% - Accent4 2 2 7" xfId="2290" xr:uid="{00000000-0005-0000-0000-000008020000}"/>
    <cellStyle name="20% - Accent4 2 2 7 2" xfId="6596" xr:uid="{00000000-0005-0000-0000-000009020000}"/>
    <cellStyle name="20% - Accent4 2 2 7 2 2" xfId="15043" xr:uid="{5A0BADCD-B052-4906-9A87-06BE2686AF84}"/>
    <cellStyle name="20% - Accent4 2 2 7 3" xfId="10828" xr:uid="{71E473A1-3BD6-4FB6-A370-A78A89D6CB65}"/>
    <cellStyle name="20% - Accent4 2 2 8" xfId="4530" xr:uid="{00000000-0005-0000-0000-00000A020000}"/>
    <cellStyle name="20% - Accent4 2 2 8 2" xfId="12977" xr:uid="{4CC80813-9F90-4AB7-86F6-807263CF7C21}"/>
    <cellStyle name="20% - Accent4 2 2 9" xfId="8762" xr:uid="{3D6A170C-0824-4B15-B836-F1C23170A789}"/>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38" xr:uid="{C651E247-53FD-40DE-BF74-C83A5FA1D962}"/>
    <cellStyle name="20% - Accent4 2 3 2 2 3" xfId="11323" xr:uid="{76FA3DFD-6BA0-435B-A1ED-493A51088D72}"/>
    <cellStyle name="20% - Accent4 2 3 2 3" xfId="4946" xr:uid="{00000000-0005-0000-0000-00000F020000}"/>
    <cellStyle name="20% - Accent4 2 3 2 3 2" xfId="13393" xr:uid="{CB938801-58A4-4933-AD92-4C8BD63EB2DB}"/>
    <cellStyle name="20% - Accent4 2 3 2 4" xfId="9178" xr:uid="{F26BFDCB-A3D4-4882-AF08-0FD1BD440CD2}"/>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1" xr:uid="{2A4AE2AE-B6D8-4B0F-8AC1-8BA927611A6F}"/>
    <cellStyle name="20% - Accent4 2 3 3 2 3" xfId="11736" xr:uid="{FC4E36CF-FF6B-47D8-8730-A79EF04BDC04}"/>
    <cellStyle name="20% - Accent4 2 3 3 3" xfId="5359" xr:uid="{00000000-0005-0000-0000-000013020000}"/>
    <cellStyle name="20% - Accent4 2 3 3 3 2" xfId="13806" xr:uid="{0C59CA1F-221B-49C0-A389-D5E499CB195D}"/>
    <cellStyle name="20% - Accent4 2 3 3 4" xfId="9591" xr:uid="{856FB0E3-D172-45FA-BAFA-1ABB52F55D06}"/>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4" xr:uid="{3B4B3E7E-F892-43F8-8A3D-0573E7CD2F64}"/>
    <cellStyle name="20% - Accent4 2 3 4 2 3" xfId="12149" xr:uid="{204B79BB-FB99-4B46-A077-3533A64A7FEF}"/>
    <cellStyle name="20% - Accent4 2 3 4 3" xfId="5772" xr:uid="{00000000-0005-0000-0000-000017020000}"/>
    <cellStyle name="20% - Accent4 2 3 4 3 2" xfId="14219" xr:uid="{427736A5-E67C-4478-86F1-CBC2902756A9}"/>
    <cellStyle name="20% - Accent4 2 3 4 4" xfId="10004" xr:uid="{CBB1A482-6BE6-447F-86A5-58D1682B0172}"/>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77" xr:uid="{38074965-A305-476F-99E8-60B84ECC95D3}"/>
    <cellStyle name="20% - Accent4 2 3 5 2 3" xfId="12562" xr:uid="{A3637E67-4ADE-45E9-9EDF-5099B018F5FD}"/>
    <cellStyle name="20% - Accent4 2 3 5 3" xfId="6185" xr:uid="{00000000-0005-0000-0000-00001B020000}"/>
    <cellStyle name="20% - Accent4 2 3 5 3 2" xfId="14632" xr:uid="{451F8B29-4F79-428F-B892-D5774C1E074F}"/>
    <cellStyle name="20% - Accent4 2 3 5 4" xfId="10417" xr:uid="{0AA4A07E-5EBE-42CF-A1FF-DEBAEE893A65}"/>
    <cellStyle name="20% - Accent4 2 3 6" xfId="2292" xr:uid="{00000000-0005-0000-0000-00001C020000}"/>
    <cellStyle name="20% - Accent4 2 3 6 2" xfId="6598" xr:uid="{00000000-0005-0000-0000-00001D020000}"/>
    <cellStyle name="20% - Accent4 2 3 6 2 2" xfId="15045" xr:uid="{908264FA-F0C8-490E-9623-962C6C653E81}"/>
    <cellStyle name="20% - Accent4 2 3 6 3" xfId="10830" xr:uid="{51B78D5E-2500-4639-8C27-3F2F21D22B82}"/>
    <cellStyle name="20% - Accent4 2 3 7" xfId="4532" xr:uid="{00000000-0005-0000-0000-00001E020000}"/>
    <cellStyle name="20% - Accent4 2 3 7 2" xfId="12979" xr:uid="{B26C423E-5E1A-40CB-820F-88627D7F21F5}"/>
    <cellStyle name="20% - Accent4 2 3 8" xfId="8764" xr:uid="{F6B1AD9C-1278-4CBE-81B2-E6682E2AB155}"/>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5" xr:uid="{D38A35E1-BEB6-4F1A-88D2-622CC8B8BFB3}"/>
    <cellStyle name="20% - Accent4 2 4 2 3" xfId="11320" xr:uid="{F65AAB58-6586-4EE3-A88E-7AB0B1B6400D}"/>
    <cellStyle name="20% - Accent4 2 4 3" xfId="4943" xr:uid="{00000000-0005-0000-0000-000022020000}"/>
    <cellStyle name="20% - Accent4 2 4 3 2" xfId="13390" xr:uid="{5C46AAA9-D314-4EAD-AB2D-79393CA6850B}"/>
    <cellStyle name="20% - Accent4 2 4 4" xfId="9175" xr:uid="{34B332F9-5898-4B5D-97EB-9BA1BB65A2C0}"/>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48" xr:uid="{585A61EB-95FD-4C07-8F4F-8FAA7BD04F03}"/>
    <cellStyle name="20% - Accent4 2 5 2 3" xfId="11733" xr:uid="{32889548-D808-471A-8493-26ABC38F2888}"/>
    <cellStyle name="20% - Accent4 2 5 3" xfId="5356" xr:uid="{00000000-0005-0000-0000-000026020000}"/>
    <cellStyle name="20% - Accent4 2 5 3 2" xfId="13803" xr:uid="{74CF19DD-7352-48E2-8412-31F371C4B239}"/>
    <cellStyle name="20% - Accent4 2 5 4" xfId="9588" xr:uid="{F5D6EC62-887F-4FB8-BBF3-A2C7D17A175E}"/>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1" xr:uid="{60866FEB-D1CB-4676-A6EB-1E655A90EB60}"/>
    <cellStyle name="20% - Accent4 2 6 2 3" xfId="12146" xr:uid="{731B57DB-1CBF-4423-BA20-21C81F113295}"/>
    <cellStyle name="20% - Accent4 2 6 3" xfId="5769" xr:uid="{00000000-0005-0000-0000-00002A020000}"/>
    <cellStyle name="20% - Accent4 2 6 3 2" xfId="14216" xr:uid="{BA42EAE3-17DB-46CE-810F-82334E0EC332}"/>
    <cellStyle name="20% - Accent4 2 6 4" xfId="10001" xr:uid="{EE593E75-1776-4E2E-AA61-DBA0E720F22B}"/>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4" xr:uid="{B405CCC7-0DF5-4208-8E39-3E4E38703B5E}"/>
    <cellStyle name="20% - Accent4 2 7 2 3" xfId="12559" xr:uid="{DAA56239-A6C1-449B-B507-7A176BC9FB36}"/>
    <cellStyle name="20% - Accent4 2 7 3" xfId="6182" xr:uid="{00000000-0005-0000-0000-00002E020000}"/>
    <cellStyle name="20% - Accent4 2 7 3 2" xfId="14629" xr:uid="{D429284E-4A22-4237-B9FE-FED7A83C430F}"/>
    <cellStyle name="20% - Accent4 2 7 4" xfId="10414" xr:uid="{7289A129-8809-426B-A1B5-1274FA23EF87}"/>
    <cellStyle name="20% - Accent4 2 8" xfId="2289" xr:uid="{00000000-0005-0000-0000-00002F020000}"/>
    <cellStyle name="20% - Accent4 2 8 2" xfId="6595" xr:uid="{00000000-0005-0000-0000-000030020000}"/>
    <cellStyle name="20% - Accent4 2 8 2 2" xfId="15042" xr:uid="{2EE368CF-269C-44FF-9170-3B1DF0A665C2}"/>
    <cellStyle name="20% - Accent4 2 8 3" xfId="10827" xr:uid="{BEBC06DE-D2ED-4F6F-AB01-FBEEFBB17236}"/>
    <cellStyle name="20% - Accent4 2 9" xfId="4529" xr:uid="{00000000-0005-0000-0000-000031020000}"/>
    <cellStyle name="20% - Accent4 2 9 2" xfId="12976" xr:uid="{B5EFAAF4-4FBB-4F7F-A4B7-616D5B6D772B}"/>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0" xr:uid="{336CB636-9BB4-4618-84F3-508233581B3B}"/>
    <cellStyle name="20% - Accent4 3 2 2 2 3" xfId="11325" xr:uid="{B8E8CCAF-3853-43BA-84B7-9E79901BC52C}"/>
    <cellStyle name="20% - Accent4 3 2 2 3" xfId="4948" xr:uid="{00000000-0005-0000-0000-000037020000}"/>
    <cellStyle name="20% - Accent4 3 2 2 3 2" xfId="13395" xr:uid="{B08D2C83-2905-43CD-85D1-74FCB7F5CE6F}"/>
    <cellStyle name="20% - Accent4 3 2 2 4" xfId="9180" xr:uid="{463D78C6-F16C-4FEE-9973-FF73BD125066}"/>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3" xr:uid="{59B14C7F-C37F-49E7-8298-91FFF4DFBC51}"/>
    <cellStyle name="20% - Accent4 3 2 3 2 3" xfId="11738" xr:uid="{89A5638E-DFFC-4AFB-BE7C-5E4D193718E4}"/>
    <cellStyle name="20% - Accent4 3 2 3 3" xfId="5361" xr:uid="{00000000-0005-0000-0000-00003B020000}"/>
    <cellStyle name="20% - Accent4 3 2 3 3 2" xfId="13808" xr:uid="{A78A8275-CAA9-4964-B12E-90B6BB04CD8C}"/>
    <cellStyle name="20% - Accent4 3 2 3 4" xfId="9593" xr:uid="{8EA9C6B4-063E-4327-9BDB-14AC905205FD}"/>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6" xr:uid="{7CAC9D91-9F2F-4AE4-952A-F8F0342BF653}"/>
    <cellStyle name="20% - Accent4 3 2 4 2 3" xfId="12151" xr:uid="{27A62989-5168-452E-9D03-577433ECEEE7}"/>
    <cellStyle name="20% - Accent4 3 2 4 3" xfId="5774" xr:uid="{00000000-0005-0000-0000-00003F020000}"/>
    <cellStyle name="20% - Accent4 3 2 4 3 2" xfId="14221" xr:uid="{6AF58EAD-AA00-452A-A01B-973C72ECACA3}"/>
    <cellStyle name="20% - Accent4 3 2 4 4" xfId="10006" xr:uid="{AAB4BB21-638A-406E-A4C6-A5A539F9B9E8}"/>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79" xr:uid="{017E9D2A-3077-429B-8051-A42E41D0D521}"/>
    <cellStyle name="20% - Accent4 3 2 5 2 3" xfId="12564" xr:uid="{EDEA5C8F-60BE-4740-A111-733A2C28A3CE}"/>
    <cellStyle name="20% - Accent4 3 2 5 3" xfId="6187" xr:uid="{00000000-0005-0000-0000-000043020000}"/>
    <cellStyle name="20% - Accent4 3 2 5 3 2" xfId="14634" xr:uid="{93DAF595-F294-412A-A234-DC3DFC0CD8B4}"/>
    <cellStyle name="20% - Accent4 3 2 5 4" xfId="10419" xr:uid="{CC0E040F-F98B-4A76-AFBD-AB86F29C3732}"/>
    <cellStyle name="20% - Accent4 3 2 6" xfId="2294" xr:uid="{00000000-0005-0000-0000-000044020000}"/>
    <cellStyle name="20% - Accent4 3 2 6 2" xfId="6600" xr:uid="{00000000-0005-0000-0000-000045020000}"/>
    <cellStyle name="20% - Accent4 3 2 6 2 2" xfId="15047" xr:uid="{53F2918E-6B05-45F3-A7C4-DCE146426C41}"/>
    <cellStyle name="20% - Accent4 3 2 6 3" xfId="10832" xr:uid="{22898D6A-0C44-4645-953A-D4DE18826329}"/>
    <cellStyle name="20% - Accent4 3 2 7" xfId="4534" xr:uid="{00000000-0005-0000-0000-000046020000}"/>
    <cellStyle name="20% - Accent4 3 2 7 2" xfId="12981" xr:uid="{1AF6E2D4-FBE9-41D7-A7FA-C18433219C65}"/>
    <cellStyle name="20% - Accent4 3 2 8" xfId="8766" xr:uid="{52764CDE-C74C-43F8-B1F8-B6C5FA9A1FE6}"/>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39" xr:uid="{E6306993-BD0C-469F-A4AC-F13A41CCABEC}"/>
    <cellStyle name="20% - Accent4 3 3 2 3" xfId="11324" xr:uid="{CB840B6C-DDCC-43D2-B00B-FF61101353E1}"/>
    <cellStyle name="20% - Accent4 3 3 3" xfId="4947" xr:uid="{00000000-0005-0000-0000-00004A020000}"/>
    <cellStyle name="20% - Accent4 3 3 3 2" xfId="13394" xr:uid="{93D87443-1549-400A-A066-C1FE41E1F511}"/>
    <cellStyle name="20% - Accent4 3 3 4" xfId="9179" xr:uid="{909D8724-5CB1-4C90-9DEC-FD8282E60457}"/>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2" xr:uid="{D6AF3214-7AFB-4CF4-9D36-AACFB81820C6}"/>
    <cellStyle name="20% - Accent4 3 4 2 3" xfId="11737" xr:uid="{58537F3E-6838-4B7B-AF5B-D58ED7CD5036}"/>
    <cellStyle name="20% - Accent4 3 4 3" xfId="5360" xr:uid="{00000000-0005-0000-0000-00004E020000}"/>
    <cellStyle name="20% - Accent4 3 4 3 2" xfId="13807" xr:uid="{8B0EC958-7BAF-4A69-A6AA-43999D759854}"/>
    <cellStyle name="20% - Accent4 3 4 4" xfId="9592" xr:uid="{4649A1B0-97F5-40E8-BC6B-4393DEC9E428}"/>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5" xr:uid="{05C198CF-7B0E-4712-ADA0-5C1A13C0C4FB}"/>
    <cellStyle name="20% - Accent4 3 5 2 3" xfId="12150" xr:uid="{2B2805EA-673D-4F03-A807-142759F3986F}"/>
    <cellStyle name="20% - Accent4 3 5 3" xfId="5773" xr:uid="{00000000-0005-0000-0000-000052020000}"/>
    <cellStyle name="20% - Accent4 3 5 3 2" xfId="14220" xr:uid="{6E73C02D-D26C-48E1-ADFE-B344F4651137}"/>
    <cellStyle name="20% - Accent4 3 5 4" xfId="10005" xr:uid="{59C271B2-8622-4D1A-B7CC-C12160916AFF}"/>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78" xr:uid="{8DA9B656-AE7D-446B-A604-46063AC25EE9}"/>
    <cellStyle name="20% - Accent4 3 6 2 3" xfId="12563" xr:uid="{D0F96F04-DE85-47F9-B6B2-DFD23360C3B5}"/>
    <cellStyle name="20% - Accent4 3 6 3" xfId="6186" xr:uid="{00000000-0005-0000-0000-000056020000}"/>
    <cellStyle name="20% - Accent4 3 6 3 2" xfId="14633" xr:uid="{BBDC89D3-3EE1-472C-8A0C-14897234EAB1}"/>
    <cellStyle name="20% - Accent4 3 6 4" xfId="10418" xr:uid="{15732BEA-07BF-4912-8DDE-72DBD18CA909}"/>
    <cellStyle name="20% - Accent4 3 7" xfId="2293" xr:uid="{00000000-0005-0000-0000-000057020000}"/>
    <cellStyle name="20% - Accent4 3 7 2" xfId="6599" xr:uid="{00000000-0005-0000-0000-000058020000}"/>
    <cellStyle name="20% - Accent4 3 7 2 2" xfId="15046" xr:uid="{B3A6C561-5F0D-45EE-B10C-C68B13DBE825}"/>
    <cellStyle name="20% - Accent4 3 7 3" xfId="10831" xr:uid="{BCE6797F-7965-4EB1-9C2A-2F9C17BEA3B1}"/>
    <cellStyle name="20% - Accent4 3 8" xfId="4533" xr:uid="{00000000-0005-0000-0000-000059020000}"/>
    <cellStyle name="20% - Accent4 3 8 2" xfId="12980" xr:uid="{5D0F8C20-A5EE-4507-9697-0D504E96616A}"/>
    <cellStyle name="20% - Accent4 3 9" xfId="8765" xr:uid="{80879D94-5551-423D-91F8-6CF56A8DE0BB}"/>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1" xr:uid="{CBE01FF7-6AD9-4DEA-A6E4-9D7B512715B4}"/>
    <cellStyle name="20% - Accent4 4 2 2 3" xfId="11326" xr:uid="{40F51C18-1A8C-45EB-8207-0EFF69749F40}"/>
    <cellStyle name="20% - Accent4 4 2 3" xfId="4949" xr:uid="{00000000-0005-0000-0000-00005E020000}"/>
    <cellStyle name="20% - Accent4 4 2 3 2" xfId="13396" xr:uid="{0039B72C-85A4-4CDA-8AD0-810B32D5358D}"/>
    <cellStyle name="20% - Accent4 4 2 4" xfId="9181" xr:uid="{3B7FBF00-509F-406E-943D-FFC82ACE3674}"/>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4" xr:uid="{85F84080-5B1E-4530-A444-A1031F7488F2}"/>
    <cellStyle name="20% - Accent4 4 3 2 3" xfId="11739" xr:uid="{DA372B13-10AB-4166-9276-FA675D5CAE25}"/>
    <cellStyle name="20% - Accent4 4 3 3" xfId="5362" xr:uid="{00000000-0005-0000-0000-000062020000}"/>
    <cellStyle name="20% - Accent4 4 3 3 2" xfId="13809" xr:uid="{2FFBFC87-1896-4735-ADAB-F8C464445081}"/>
    <cellStyle name="20% - Accent4 4 3 4" xfId="9594" xr:uid="{38B87A42-A841-4E06-82FA-E2C3762BDA80}"/>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67" xr:uid="{49CAB3DC-7841-4B32-917D-ED3F4DF42D94}"/>
    <cellStyle name="20% - Accent4 4 4 2 3" xfId="12152" xr:uid="{6C03376E-8EAC-4892-84AE-A91808972275}"/>
    <cellStyle name="20% - Accent4 4 4 3" xfId="5775" xr:uid="{00000000-0005-0000-0000-000066020000}"/>
    <cellStyle name="20% - Accent4 4 4 3 2" xfId="14222" xr:uid="{ED87AE68-C9C1-4B4E-8466-5DB9D9A5E77D}"/>
    <cellStyle name="20% - Accent4 4 4 4" xfId="10007" xr:uid="{09DE058D-368C-4201-AF78-EB3BE41DC384}"/>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0" xr:uid="{3D4E5227-8277-46DF-827D-A23010022788}"/>
    <cellStyle name="20% - Accent4 4 5 2 3" xfId="12565" xr:uid="{55EAB107-100C-4E77-B796-6A3B2500D650}"/>
    <cellStyle name="20% - Accent4 4 5 3" xfId="6188" xr:uid="{00000000-0005-0000-0000-00006A020000}"/>
    <cellStyle name="20% - Accent4 4 5 3 2" xfId="14635" xr:uid="{330892A8-A1B7-4B3F-80E8-181AE6CDA536}"/>
    <cellStyle name="20% - Accent4 4 5 4" xfId="10420" xr:uid="{EA235F1E-44AE-4CAD-A4B1-250E5F242308}"/>
    <cellStyle name="20% - Accent4 4 6" xfId="2295" xr:uid="{00000000-0005-0000-0000-00006B020000}"/>
    <cellStyle name="20% - Accent4 4 6 2" xfId="6601" xr:uid="{00000000-0005-0000-0000-00006C020000}"/>
    <cellStyle name="20% - Accent4 4 6 2 2" xfId="15048" xr:uid="{F5AA0AAB-1686-4386-8BAF-685A6E83863C}"/>
    <cellStyle name="20% - Accent4 4 6 3" xfId="10833" xr:uid="{7C20DB2E-2B19-4DF2-9976-58D088EBA4ED}"/>
    <cellStyle name="20% - Accent4 4 7" xfId="4535" xr:uid="{00000000-0005-0000-0000-00006D020000}"/>
    <cellStyle name="20% - Accent4 4 7 2" xfId="12982" xr:uid="{E6DC9EAF-2D4A-4511-A897-EA5C80949AEF}"/>
    <cellStyle name="20% - Accent4 4 8" xfId="8767" xr:uid="{CC44BEFA-9777-4DFC-82CD-E89259E7D72A}"/>
    <cellStyle name="20% - Accent4 5" xfId="594" xr:uid="{00000000-0005-0000-0000-00006E020000}"/>
    <cellStyle name="20% - Accent4 5 2" xfId="2865" xr:uid="{00000000-0005-0000-0000-00006F020000}"/>
    <cellStyle name="20% - Accent4 5 2 2" xfId="7087" xr:uid="{00000000-0005-0000-0000-000070020000}"/>
    <cellStyle name="20% - Accent4 5 2 2 2" xfId="15534" xr:uid="{BED941C6-9C76-4D62-9FF7-3A86651D1EE1}"/>
    <cellStyle name="20% - Accent4 5 2 3" xfId="11319" xr:uid="{5DF3C9B7-76A9-4401-8535-21CC36E52C88}"/>
    <cellStyle name="20% - Accent4 5 3" xfId="4942" xr:uid="{00000000-0005-0000-0000-000071020000}"/>
    <cellStyle name="20% - Accent4 5 3 2" xfId="13389" xr:uid="{02EF61ED-49B9-4460-B617-8CBA20455A6E}"/>
    <cellStyle name="20% - Accent4 5 4" xfId="9174" xr:uid="{59D91682-5C43-4A24-98F7-E3783174629A}"/>
    <cellStyle name="20% - Accent4 6" xfId="1047" xr:uid="{00000000-0005-0000-0000-000072020000}"/>
    <cellStyle name="20% - Accent4 6 2" xfId="3278" xr:uid="{00000000-0005-0000-0000-000073020000}"/>
    <cellStyle name="20% - Accent4 6 2 2" xfId="7500" xr:uid="{00000000-0005-0000-0000-000074020000}"/>
    <cellStyle name="20% - Accent4 6 2 2 2" xfId="15947" xr:uid="{874BF007-A550-4255-AC0F-8D006452EA71}"/>
    <cellStyle name="20% - Accent4 6 2 3" xfId="11732" xr:uid="{945F8040-C654-4E67-90DF-04655BABBEF4}"/>
    <cellStyle name="20% - Accent4 6 3" xfId="5355" xr:uid="{00000000-0005-0000-0000-000075020000}"/>
    <cellStyle name="20% - Accent4 6 3 2" xfId="13802" xr:uid="{93174A92-095D-4E3C-9BB7-8EB654F7476B}"/>
    <cellStyle name="20% - Accent4 6 4" xfId="9587" xr:uid="{E89ECFEC-12BA-46D3-A346-9B38A473C939}"/>
    <cellStyle name="20% - Accent4 7" xfId="1461" xr:uid="{00000000-0005-0000-0000-000076020000}"/>
    <cellStyle name="20% - Accent4 7 2" xfId="3691" xr:uid="{00000000-0005-0000-0000-000077020000}"/>
    <cellStyle name="20% - Accent4 7 2 2" xfId="7913" xr:uid="{00000000-0005-0000-0000-000078020000}"/>
    <cellStyle name="20% - Accent4 7 2 2 2" xfId="16360" xr:uid="{A582662E-3860-41F2-AF3B-347B9806648B}"/>
    <cellStyle name="20% - Accent4 7 2 3" xfId="12145" xr:uid="{EC42CB32-E9CF-4F3B-9B27-AFD3EAAD82B1}"/>
    <cellStyle name="20% - Accent4 7 3" xfId="5768" xr:uid="{00000000-0005-0000-0000-000079020000}"/>
    <cellStyle name="20% - Accent4 7 3 2" xfId="14215" xr:uid="{3B5F0281-19E3-4223-8646-ABAE48BD5903}"/>
    <cellStyle name="20% - Accent4 7 4" xfId="10000" xr:uid="{27EB5560-65AA-41BD-9F13-049EDB8E2C39}"/>
    <cellStyle name="20% - Accent4 8" xfId="1875" xr:uid="{00000000-0005-0000-0000-00007A020000}"/>
    <cellStyle name="20% - Accent4 8 2" xfId="4104" xr:uid="{00000000-0005-0000-0000-00007B020000}"/>
    <cellStyle name="20% - Accent4 8 2 2" xfId="8326" xr:uid="{00000000-0005-0000-0000-00007C020000}"/>
    <cellStyle name="20% - Accent4 8 2 2 2" xfId="16773" xr:uid="{C7FF4416-DE4C-41B1-B5DE-EE048A49890E}"/>
    <cellStyle name="20% - Accent4 8 2 3" xfId="12558" xr:uid="{1436CFD7-7ED8-45D4-BAD6-E801DD719D54}"/>
    <cellStyle name="20% - Accent4 8 3" xfId="6181" xr:uid="{00000000-0005-0000-0000-00007D020000}"/>
    <cellStyle name="20% - Accent4 8 3 2" xfId="14628" xr:uid="{2396DE3B-B3AD-4BC3-BC00-22719B2FA735}"/>
    <cellStyle name="20% - Accent4 8 4" xfId="10413" xr:uid="{FD60FEEB-BE68-469A-A90E-B385D7B5C77F}"/>
    <cellStyle name="20% - Accent4 9" xfId="2288" xr:uid="{00000000-0005-0000-0000-00007E020000}"/>
    <cellStyle name="20% - Accent4 9 2" xfId="6594" xr:uid="{00000000-0005-0000-0000-00007F020000}"/>
    <cellStyle name="20% - Accent4 9 2 2" xfId="15041" xr:uid="{A84F334F-4D44-4890-AA5D-70355F42DB6A}"/>
    <cellStyle name="20% - Accent4 9 3" xfId="10826" xr:uid="{60AD1AD2-BC0F-4573-8CEE-F73FCA05F01E}"/>
    <cellStyle name="20% - Accent5" xfId="33" builtinId="46" customBuiltin="1"/>
    <cellStyle name="20% - Accent5 10" xfId="4536" xr:uid="{00000000-0005-0000-0000-000081020000}"/>
    <cellStyle name="20% - Accent5 10 2" xfId="12983" xr:uid="{C404E244-4D1C-445E-9A84-CAFA10E6EB08}"/>
    <cellStyle name="20% - Accent5 11" xfId="8768" xr:uid="{C6C58E33-7A8B-4333-AB04-B86B735E92B9}"/>
    <cellStyle name="20% - Accent5 2" xfId="34" xr:uid="{00000000-0005-0000-0000-000082020000}"/>
    <cellStyle name="20% - Accent5 2 10" xfId="8769" xr:uid="{E4D5C72A-EF83-43D3-B4BB-0C91EC65CB46}"/>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5" xr:uid="{4C336D3E-47D9-41AB-A589-F6FEAD0E64D0}"/>
    <cellStyle name="20% - Accent5 2 2 2 2 2 3" xfId="11330" xr:uid="{8B8F50A8-D1E6-4C53-B10A-DE1FF314E7D0}"/>
    <cellStyle name="20% - Accent5 2 2 2 2 3" xfId="4953" xr:uid="{00000000-0005-0000-0000-000088020000}"/>
    <cellStyle name="20% - Accent5 2 2 2 2 3 2" xfId="13400" xr:uid="{D11FF707-92A5-4C88-A63E-7070AF3C3718}"/>
    <cellStyle name="20% - Accent5 2 2 2 2 4" xfId="9185" xr:uid="{227A3EFF-638F-4575-AD71-62000B3F0808}"/>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58" xr:uid="{372D817E-D6B9-485E-BD4E-0F216665D1C2}"/>
    <cellStyle name="20% - Accent5 2 2 2 3 2 3" xfId="11743" xr:uid="{23889AEA-F273-4D47-9B0D-40E72675A68D}"/>
    <cellStyle name="20% - Accent5 2 2 2 3 3" xfId="5366" xr:uid="{00000000-0005-0000-0000-00008C020000}"/>
    <cellStyle name="20% - Accent5 2 2 2 3 3 2" xfId="13813" xr:uid="{47CB23EF-7EB8-4480-94B6-87227120DD17}"/>
    <cellStyle name="20% - Accent5 2 2 2 3 4" xfId="9598" xr:uid="{C3761341-4A03-47D0-87CF-9AB54E9C50C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1" xr:uid="{4D2A96AF-AC8C-48BC-81FC-A467E0C1BE6F}"/>
    <cellStyle name="20% - Accent5 2 2 2 4 2 3" xfId="12156" xr:uid="{B65937E2-8BF5-4DC3-892D-F74970C9A530}"/>
    <cellStyle name="20% - Accent5 2 2 2 4 3" xfId="5779" xr:uid="{00000000-0005-0000-0000-000090020000}"/>
    <cellStyle name="20% - Accent5 2 2 2 4 3 2" xfId="14226" xr:uid="{5FF55B5B-3399-42FD-8743-02E26542D5D4}"/>
    <cellStyle name="20% - Accent5 2 2 2 4 4" xfId="10011" xr:uid="{1C6EC2D9-5ECD-4D66-BB3E-0EDB8DCDABEC}"/>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4" xr:uid="{F0530930-8FA4-4A17-8865-0B4DC9682437}"/>
    <cellStyle name="20% - Accent5 2 2 2 5 2 3" xfId="12569" xr:uid="{D2A3EC3A-CE48-443C-8B73-FBE21910EC4A}"/>
    <cellStyle name="20% - Accent5 2 2 2 5 3" xfId="6192" xr:uid="{00000000-0005-0000-0000-000094020000}"/>
    <cellStyle name="20% - Accent5 2 2 2 5 3 2" xfId="14639" xr:uid="{3BC5CFE6-465D-4D1B-B14A-8075EA0FA68C}"/>
    <cellStyle name="20% - Accent5 2 2 2 5 4" xfId="10424" xr:uid="{7FC51CDA-7AB6-49EF-B048-422EC2312441}"/>
    <cellStyle name="20% - Accent5 2 2 2 6" xfId="2299" xr:uid="{00000000-0005-0000-0000-000095020000}"/>
    <cellStyle name="20% - Accent5 2 2 2 6 2" xfId="6605" xr:uid="{00000000-0005-0000-0000-000096020000}"/>
    <cellStyle name="20% - Accent5 2 2 2 6 2 2" xfId="15052" xr:uid="{9A6ED29C-5849-4E77-9955-2938E6C6F350}"/>
    <cellStyle name="20% - Accent5 2 2 2 6 3" xfId="10837" xr:uid="{73E3869E-88DB-46C7-8666-EB5E36478DB1}"/>
    <cellStyle name="20% - Accent5 2 2 2 7" xfId="4539" xr:uid="{00000000-0005-0000-0000-000097020000}"/>
    <cellStyle name="20% - Accent5 2 2 2 7 2" xfId="12986" xr:uid="{F29815E6-6AFF-4A2A-B810-6AB11555356B}"/>
    <cellStyle name="20% - Accent5 2 2 2 8" xfId="8771" xr:uid="{CC6CC046-788E-4A0E-9D8E-40AE35685313}"/>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4" xr:uid="{49B2EA3E-3591-4451-97B0-4A5827ADE942}"/>
    <cellStyle name="20% - Accent5 2 2 3 2 3" xfId="11329" xr:uid="{6B76F104-B544-4043-80B9-E770CD982F50}"/>
    <cellStyle name="20% - Accent5 2 2 3 3" xfId="4952" xr:uid="{00000000-0005-0000-0000-00009B020000}"/>
    <cellStyle name="20% - Accent5 2 2 3 3 2" xfId="13399" xr:uid="{95C89DAC-01CF-4892-AB59-2DF29535056A}"/>
    <cellStyle name="20% - Accent5 2 2 3 4" xfId="9184" xr:uid="{CD6741DA-913B-44C9-A011-5CA302D28FAE}"/>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57" xr:uid="{390AEC1F-157F-4AFB-8B6A-A8A6DD0FDB07}"/>
    <cellStyle name="20% - Accent5 2 2 4 2 3" xfId="11742" xr:uid="{C84C9BF5-B5D0-4CC9-8DAD-CED75C20DD14}"/>
    <cellStyle name="20% - Accent5 2 2 4 3" xfId="5365" xr:uid="{00000000-0005-0000-0000-00009F020000}"/>
    <cellStyle name="20% - Accent5 2 2 4 3 2" xfId="13812" xr:uid="{3AB9F867-E8E2-48A2-A612-4688583F1007}"/>
    <cellStyle name="20% - Accent5 2 2 4 4" xfId="9597" xr:uid="{53F28555-EF6D-4D7A-B664-8F91055BC701}"/>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0" xr:uid="{9113B3E3-8A9A-472C-90F0-F261FCE5DA5D}"/>
    <cellStyle name="20% - Accent5 2 2 5 2 3" xfId="12155" xr:uid="{61678D14-055F-419F-B86A-34C6DF104D9E}"/>
    <cellStyle name="20% - Accent5 2 2 5 3" xfId="5778" xr:uid="{00000000-0005-0000-0000-0000A3020000}"/>
    <cellStyle name="20% - Accent5 2 2 5 3 2" xfId="14225" xr:uid="{69C53FD8-9D3A-4B03-AB2E-1BFBE73D99D9}"/>
    <cellStyle name="20% - Accent5 2 2 5 4" xfId="10010" xr:uid="{8A354EB4-C0B2-4EF9-A4B0-F779A4ACBD76}"/>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3" xr:uid="{745A9A22-3B65-40A2-9592-4D39B5FCE8B5}"/>
    <cellStyle name="20% - Accent5 2 2 6 2 3" xfId="12568" xr:uid="{D01B2532-8BF5-46A8-BABC-70659639E0A0}"/>
    <cellStyle name="20% - Accent5 2 2 6 3" xfId="6191" xr:uid="{00000000-0005-0000-0000-0000A7020000}"/>
    <cellStyle name="20% - Accent5 2 2 6 3 2" xfId="14638" xr:uid="{4545741E-8B1D-4487-97BA-28D1D6D0972D}"/>
    <cellStyle name="20% - Accent5 2 2 6 4" xfId="10423" xr:uid="{6ABAB32E-1835-4535-99A5-3C20F985F95A}"/>
    <cellStyle name="20% - Accent5 2 2 7" xfId="2298" xr:uid="{00000000-0005-0000-0000-0000A8020000}"/>
    <cellStyle name="20% - Accent5 2 2 7 2" xfId="6604" xr:uid="{00000000-0005-0000-0000-0000A9020000}"/>
    <cellStyle name="20% - Accent5 2 2 7 2 2" xfId="15051" xr:uid="{40E2CF39-74BE-4647-A60B-AC79FFF4C342}"/>
    <cellStyle name="20% - Accent5 2 2 7 3" xfId="10836" xr:uid="{FC4D079F-79B5-4465-9B31-C3A5451934CF}"/>
    <cellStyle name="20% - Accent5 2 2 8" xfId="4538" xr:uid="{00000000-0005-0000-0000-0000AA020000}"/>
    <cellStyle name="20% - Accent5 2 2 8 2" xfId="12985" xr:uid="{0E95791D-81BD-4E0F-8093-EC3185E1EA5E}"/>
    <cellStyle name="20% - Accent5 2 2 9" xfId="8770" xr:uid="{3338516F-4A45-47C1-8ACF-25566EC1B99C}"/>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6" xr:uid="{4803EADD-0F78-4DF1-B70B-43223774CC2C}"/>
    <cellStyle name="20% - Accent5 2 3 2 2 3" xfId="11331" xr:uid="{7C3F512E-A987-4CEB-BE06-9659C54F468A}"/>
    <cellStyle name="20% - Accent5 2 3 2 3" xfId="4954" xr:uid="{00000000-0005-0000-0000-0000AF020000}"/>
    <cellStyle name="20% - Accent5 2 3 2 3 2" xfId="13401" xr:uid="{2ECC19AC-D51E-4CC2-927D-8341220A10D6}"/>
    <cellStyle name="20% - Accent5 2 3 2 4" xfId="9186" xr:uid="{CEB28AA9-DCD1-4303-BE1C-EFCFA4A9FD35}"/>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59" xr:uid="{1D6EF0C0-55C7-41C2-B8D9-E3FE7F00A120}"/>
    <cellStyle name="20% - Accent5 2 3 3 2 3" xfId="11744" xr:uid="{DDFF26F6-1FFE-4DA6-A9EA-6702FA866B00}"/>
    <cellStyle name="20% - Accent5 2 3 3 3" xfId="5367" xr:uid="{00000000-0005-0000-0000-0000B3020000}"/>
    <cellStyle name="20% - Accent5 2 3 3 3 2" xfId="13814" xr:uid="{045B1E1E-1442-435C-AEC5-8E3CB2FE3AC2}"/>
    <cellStyle name="20% - Accent5 2 3 3 4" xfId="9599" xr:uid="{1312E3A0-7376-4284-A929-94A59224F3C5}"/>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2" xr:uid="{1E5542F7-AECF-4E1D-9F6A-666BDC50C59A}"/>
    <cellStyle name="20% - Accent5 2 3 4 2 3" xfId="12157" xr:uid="{F8C4A652-6FBB-4466-A57C-A06B9C2C986B}"/>
    <cellStyle name="20% - Accent5 2 3 4 3" xfId="5780" xr:uid="{00000000-0005-0000-0000-0000B7020000}"/>
    <cellStyle name="20% - Accent5 2 3 4 3 2" xfId="14227" xr:uid="{2A297F39-C92B-4805-9349-26BEF45A4DA7}"/>
    <cellStyle name="20% - Accent5 2 3 4 4" xfId="10012" xr:uid="{533C3F3E-F18B-463F-8A6C-24FC1B74B7A8}"/>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5" xr:uid="{EB1C3459-7A8E-420F-8B2B-B6F288C32353}"/>
    <cellStyle name="20% - Accent5 2 3 5 2 3" xfId="12570" xr:uid="{3F69292D-61ED-41F7-AA44-2A4C0F3EA381}"/>
    <cellStyle name="20% - Accent5 2 3 5 3" xfId="6193" xr:uid="{00000000-0005-0000-0000-0000BB020000}"/>
    <cellStyle name="20% - Accent5 2 3 5 3 2" xfId="14640" xr:uid="{6CCF3933-AA74-4CE3-A063-73352877FAB1}"/>
    <cellStyle name="20% - Accent5 2 3 5 4" xfId="10425" xr:uid="{73321523-EE38-493F-8877-3220ABC9A15A}"/>
    <cellStyle name="20% - Accent5 2 3 6" xfId="2300" xr:uid="{00000000-0005-0000-0000-0000BC020000}"/>
    <cellStyle name="20% - Accent5 2 3 6 2" xfId="6606" xr:uid="{00000000-0005-0000-0000-0000BD020000}"/>
    <cellStyle name="20% - Accent5 2 3 6 2 2" xfId="15053" xr:uid="{374893CA-3FAA-40EE-821B-4A3E9E8768EC}"/>
    <cellStyle name="20% - Accent5 2 3 6 3" xfId="10838" xr:uid="{B597C6E5-C617-4819-914F-B2C838168CAB}"/>
    <cellStyle name="20% - Accent5 2 3 7" xfId="4540" xr:uid="{00000000-0005-0000-0000-0000BE020000}"/>
    <cellStyle name="20% - Accent5 2 3 7 2" xfId="12987" xr:uid="{344444DE-294E-4736-9A83-D6CB2A63DC61}"/>
    <cellStyle name="20% - Accent5 2 3 8" xfId="8772" xr:uid="{78A0995C-749A-4A25-B81A-B6739C933A8F}"/>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3" xr:uid="{FD576DB5-2E21-492D-9A92-4D104F913892}"/>
    <cellStyle name="20% - Accent5 2 4 2 3" xfId="11328" xr:uid="{B3029133-66AC-487D-BFB8-50B4FD3D3B45}"/>
    <cellStyle name="20% - Accent5 2 4 3" xfId="4951" xr:uid="{00000000-0005-0000-0000-0000C2020000}"/>
    <cellStyle name="20% - Accent5 2 4 3 2" xfId="13398" xr:uid="{31C548F2-E4FD-42DD-9B5F-AEFD026BD0F1}"/>
    <cellStyle name="20% - Accent5 2 4 4" xfId="9183" xr:uid="{85D10AF5-82D1-4C66-BEB2-27C04E078F9A}"/>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6" xr:uid="{CCE42C6E-36A8-49BE-86C0-032C09CC5C09}"/>
    <cellStyle name="20% - Accent5 2 5 2 3" xfId="11741" xr:uid="{C1B3D1D0-C8B0-49C7-BB78-E496D3AB1424}"/>
    <cellStyle name="20% - Accent5 2 5 3" xfId="5364" xr:uid="{00000000-0005-0000-0000-0000C6020000}"/>
    <cellStyle name="20% - Accent5 2 5 3 2" xfId="13811" xr:uid="{05A150E3-2E5B-42B2-B37D-3CEBD91BD4A4}"/>
    <cellStyle name="20% - Accent5 2 5 4" xfId="9596" xr:uid="{8E484447-5D6C-4B2C-A4DB-1726EB7D7919}"/>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69" xr:uid="{933E4D88-39AB-4F51-B748-F7023AC6DB43}"/>
    <cellStyle name="20% - Accent5 2 6 2 3" xfId="12154" xr:uid="{77F9B6CB-4F4F-4825-8232-6579FA2600B3}"/>
    <cellStyle name="20% - Accent5 2 6 3" xfId="5777" xr:uid="{00000000-0005-0000-0000-0000CA020000}"/>
    <cellStyle name="20% - Accent5 2 6 3 2" xfId="14224" xr:uid="{5118F95F-8966-4827-A3EE-F89A0F48E20B}"/>
    <cellStyle name="20% - Accent5 2 6 4" xfId="10009" xr:uid="{11FF7679-C4D6-4C4F-9EBE-0A235E39BF54}"/>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2" xr:uid="{52E8C270-CF50-4CB2-936E-831E98A2B0A6}"/>
    <cellStyle name="20% - Accent5 2 7 2 3" xfId="12567" xr:uid="{D4F0E28C-E584-4CD3-976E-CAEB98EFC2D2}"/>
    <cellStyle name="20% - Accent5 2 7 3" xfId="6190" xr:uid="{00000000-0005-0000-0000-0000CE020000}"/>
    <cellStyle name="20% - Accent5 2 7 3 2" xfId="14637" xr:uid="{547B96C6-67E9-4221-9BDA-2134E84F66FB}"/>
    <cellStyle name="20% - Accent5 2 7 4" xfId="10422" xr:uid="{FBC8B87D-C37E-424B-91F2-C881965B9076}"/>
    <cellStyle name="20% - Accent5 2 8" xfId="2297" xr:uid="{00000000-0005-0000-0000-0000CF020000}"/>
    <cellStyle name="20% - Accent5 2 8 2" xfId="6603" xr:uid="{00000000-0005-0000-0000-0000D0020000}"/>
    <cellStyle name="20% - Accent5 2 8 2 2" xfId="15050" xr:uid="{B420BAD2-91AD-4087-A407-66F4DE4AF146}"/>
    <cellStyle name="20% - Accent5 2 8 3" xfId="10835" xr:uid="{C1A82725-EDE6-4863-867A-13D15A28AD64}"/>
    <cellStyle name="20% - Accent5 2 9" xfId="4537" xr:uid="{00000000-0005-0000-0000-0000D1020000}"/>
    <cellStyle name="20% - Accent5 2 9 2" xfId="12984" xr:uid="{A82D376E-3501-477B-97B7-F72E5BF40045}"/>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48" xr:uid="{F84569D6-9D16-43A4-845B-EB13AB60AD51}"/>
    <cellStyle name="20% - Accent5 3 2 2 2 3" xfId="11333" xr:uid="{2A9EE485-DDB3-477A-A7DD-DFE7526A8199}"/>
    <cellStyle name="20% - Accent5 3 2 2 3" xfId="4956" xr:uid="{00000000-0005-0000-0000-0000D7020000}"/>
    <cellStyle name="20% - Accent5 3 2 2 3 2" xfId="13403" xr:uid="{C9C9A44E-EC05-4B95-B214-244730834D00}"/>
    <cellStyle name="20% - Accent5 3 2 2 4" xfId="9188" xr:uid="{F0413FD3-FC75-43C2-B62C-178C8238150D}"/>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1" xr:uid="{3496BD0D-DF68-48A3-870D-86C49B65C432}"/>
    <cellStyle name="20% - Accent5 3 2 3 2 3" xfId="11746" xr:uid="{E308D3C8-3277-4072-BDFA-2215839154AE}"/>
    <cellStyle name="20% - Accent5 3 2 3 3" xfId="5369" xr:uid="{00000000-0005-0000-0000-0000DB020000}"/>
    <cellStyle name="20% - Accent5 3 2 3 3 2" xfId="13816" xr:uid="{8F236468-3721-4764-AE27-EDD13781CE30}"/>
    <cellStyle name="20% - Accent5 3 2 3 4" xfId="9601" xr:uid="{CF9CA810-E6F2-4E45-88FD-4FAE049366F0}"/>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4" xr:uid="{F23E22DD-3670-4001-87C2-8982D0081808}"/>
    <cellStyle name="20% - Accent5 3 2 4 2 3" xfId="12159" xr:uid="{37769461-7FB0-4E7A-A619-66285A7967FF}"/>
    <cellStyle name="20% - Accent5 3 2 4 3" xfId="5782" xr:uid="{00000000-0005-0000-0000-0000DF020000}"/>
    <cellStyle name="20% - Accent5 3 2 4 3 2" xfId="14229" xr:uid="{B1B26E8C-5C71-4BEA-8D2F-850BA6B67085}"/>
    <cellStyle name="20% - Accent5 3 2 4 4" xfId="10014" xr:uid="{3BA6349C-3533-4775-BD92-CC0FFAD564D3}"/>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87" xr:uid="{2A2E4A0B-A583-487C-9E97-CD7A36A3DEA8}"/>
    <cellStyle name="20% - Accent5 3 2 5 2 3" xfId="12572" xr:uid="{7AEF0BA9-F20F-4F81-99D5-09F071F0517B}"/>
    <cellStyle name="20% - Accent5 3 2 5 3" xfId="6195" xr:uid="{00000000-0005-0000-0000-0000E3020000}"/>
    <cellStyle name="20% - Accent5 3 2 5 3 2" xfId="14642" xr:uid="{0781D674-A0F1-4247-9845-CAD1D3C6B3E2}"/>
    <cellStyle name="20% - Accent5 3 2 5 4" xfId="10427" xr:uid="{5FD59BF2-D70F-4ADD-94B9-39D7F88614D3}"/>
    <cellStyle name="20% - Accent5 3 2 6" xfId="2302" xr:uid="{00000000-0005-0000-0000-0000E4020000}"/>
    <cellStyle name="20% - Accent5 3 2 6 2" xfId="6608" xr:uid="{00000000-0005-0000-0000-0000E5020000}"/>
    <cellStyle name="20% - Accent5 3 2 6 2 2" xfId="15055" xr:uid="{44A5D283-E73F-45B7-8F65-3FE094311F8B}"/>
    <cellStyle name="20% - Accent5 3 2 6 3" xfId="10840" xr:uid="{9467BF11-D347-49F0-8D8B-BB3586970EDB}"/>
    <cellStyle name="20% - Accent5 3 2 7" xfId="4542" xr:uid="{00000000-0005-0000-0000-0000E6020000}"/>
    <cellStyle name="20% - Accent5 3 2 7 2" xfId="12989" xr:uid="{62D3062F-69C5-4500-8EF5-3CE196E6AB40}"/>
    <cellStyle name="20% - Accent5 3 2 8" xfId="8774" xr:uid="{1B9DFFDA-7FD6-4387-85F4-E596A7E8D6A5}"/>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47" xr:uid="{E324DD59-621E-46CE-B4AA-7EE96A482688}"/>
    <cellStyle name="20% - Accent5 3 3 2 3" xfId="11332" xr:uid="{7D2C4AFD-97F2-4EB6-BA09-6DF622191C2E}"/>
    <cellStyle name="20% - Accent5 3 3 3" xfId="4955" xr:uid="{00000000-0005-0000-0000-0000EA020000}"/>
    <cellStyle name="20% - Accent5 3 3 3 2" xfId="13402" xr:uid="{4CFFE27B-608D-4067-875A-F6EB5116E1D6}"/>
    <cellStyle name="20% - Accent5 3 3 4" xfId="9187" xr:uid="{E5902902-E723-42F1-844A-B9AB4139F7E3}"/>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0" xr:uid="{749420FE-F4C5-4366-B1F2-0BAB0FC53860}"/>
    <cellStyle name="20% - Accent5 3 4 2 3" xfId="11745" xr:uid="{C23368D2-3A8A-482D-A223-7F07C83F5900}"/>
    <cellStyle name="20% - Accent5 3 4 3" xfId="5368" xr:uid="{00000000-0005-0000-0000-0000EE020000}"/>
    <cellStyle name="20% - Accent5 3 4 3 2" xfId="13815" xr:uid="{FF8E0D7F-365B-4F11-9640-55CC8B3038F8}"/>
    <cellStyle name="20% - Accent5 3 4 4" xfId="9600" xr:uid="{E28EA639-742C-4F6A-B1B5-D4E2B612A5AD}"/>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3" xr:uid="{4EFDBE8D-90F3-434B-86EF-5E9B02740C76}"/>
    <cellStyle name="20% - Accent5 3 5 2 3" xfId="12158" xr:uid="{D40EAF55-7F1B-4E43-94AD-C02A8AD96C0C}"/>
    <cellStyle name="20% - Accent5 3 5 3" xfId="5781" xr:uid="{00000000-0005-0000-0000-0000F2020000}"/>
    <cellStyle name="20% - Accent5 3 5 3 2" xfId="14228" xr:uid="{D472C53E-E4F9-4279-ACB6-914B131E3C68}"/>
    <cellStyle name="20% - Accent5 3 5 4" xfId="10013" xr:uid="{00E50E29-F6D9-43F3-ACE8-CE1A2141D7C2}"/>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6" xr:uid="{37AD31C9-640A-4AE9-90E9-59CCE97168D4}"/>
    <cellStyle name="20% - Accent5 3 6 2 3" xfId="12571" xr:uid="{C9FB1CBB-70A4-4BE2-BAFF-5C228661657B}"/>
    <cellStyle name="20% - Accent5 3 6 3" xfId="6194" xr:uid="{00000000-0005-0000-0000-0000F6020000}"/>
    <cellStyle name="20% - Accent5 3 6 3 2" xfId="14641" xr:uid="{8143ED99-1E65-438A-91B0-69364761B251}"/>
    <cellStyle name="20% - Accent5 3 6 4" xfId="10426" xr:uid="{9235CE3A-F0D5-4948-93B6-BD71F8EEA236}"/>
    <cellStyle name="20% - Accent5 3 7" xfId="2301" xr:uid="{00000000-0005-0000-0000-0000F7020000}"/>
    <cellStyle name="20% - Accent5 3 7 2" xfId="6607" xr:uid="{00000000-0005-0000-0000-0000F8020000}"/>
    <cellStyle name="20% - Accent5 3 7 2 2" xfId="15054" xr:uid="{560FEBBA-BF14-4436-967C-5E4C1DB036B6}"/>
    <cellStyle name="20% - Accent5 3 7 3" xfId="10839" xr:uid="{15BDAD0C-1B2C-4D64-BD0D-7D8747F5F218}"/>
    <cellStyle name="20% - Accent5 3 8" xfId="4541" xr:uid="{00000000-0005-0000-0000-0000F9020000}"/>
    <cellStyle name="20% - Accent5 3 8 2" xfId="12988" xr:uid="{D8A7F22B-24A1-4EC2-A136-2B6DAF03713B}"/>
    <cellStyle name="20% - Accent5 3 9" xfId="8773" xr:uid="{A9D7BDE4-1F56-475E-B302-55073E766B01}"/>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49" xr:uid="{E080506A-EAFA-46C8-9D43-49FC2DDBF182}"/>
    <cellStyle name="20% - Accent5 4 2 2 3" xfId="11334" xr:uid="{1FD47763-7870-4D8F-96E9-53A410815470}"/>
    <cellStyle name="20% - Accent5 4 2 3" xfId="4957" xr:uid="{00000000-0005-0000-0000-0000FE020000}"/>
    <cellStyle name="20% - Accent5 4 2 3 2" xfId="13404" xr:uid="{4F4A1872-98CB-44F2-B42C-864CB1551D47}"/>
    <cellStyle name="20% - Accent5 4 2 4" xfId="9189" xr:uid="{12652C7C-68DF-4374-BB63-2D697E264302}"/>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2" xr:uid="{4D9C5921-BC54-464F-B397-ADD3F4E40C16}"/>
    <cellStyle name="20% - Accent5 4 3 2 3" xfId="11747" xr:uid="{5E0D4D9C-C3A1-4834-8336-B2930D505C92}"/>
    <cellStyle name="20% - Accent5 4 3 3" xfId="5370" xr:uid="{00000000-0005-0000-0000-000002030000}"/>
    <cellStyle name="20% - Accent5 4 3 3 2" xfId="13817" xr:uid="{2390DB14-B2BE-48F6-A49F-6151DDDA7125}"/>
    <cellStyle name="20% - Accent5 4 3 4" xfId="9602" xr:uid="{DFB64DDA-7EA2-4EE6-8DAD-17CE5FB21225}"/>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5" xr:uid="{B32CA3E0-1B0B-4F9B-9AE3-F4AF273FB76E}"/>
    <cellStyle name="20% - Accent5 4 4 2 3" xfId="12160" xr:uid="{101FBD27-9304-41F5-90E3-C27E18210E17}"/>
    <cellStyle name="20% - Accent5 4 4 3" xfId="5783" xr:uid="{00000000-0005-0000-0000-000006030000}"/>
    <cellStyle name="20% - Accent5 4 4 3 2" xfId="14230" xr:uid="{1672A870-025B-4374-B6F9-E4C8D3A6D7BC}"/>
    <cellStyle name="20% - Accent5 4 4 4" xfId="10015" xr:uid="{947605CB-0853-4959-A47D-0C56F560B77F}"/>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88" xr:uid="{FD89A791-8680-4FE2-B9A0-94BF5BF9D20F}"/>
    <cellStyle name="20% - Accent5 4 5 2 3" xfId="12573" xr:uid="{9A654C20-93CE-4593-8064-3F963BA82B13}"/>
    <cellStyle name="20% - Accent5 4 5 3" xfId="6196" xr:uid="{00000000-0005-0000-0000-00000A030000}"/>
    <cellStyle name="20% - Accent5 4 5 3 2" xfId="14643" xr:uid="{1AE14605-BC55-44F7-9E55-FB8E01169861}"/>
    <cellStyle name="20% - Accent5 4 5 4" xfId="10428" xr:uid="{ABF83533-58AF-4EEB-A853-3BC91BA7DA27}"/>
    <cellStyle name="20% - Accent5 4 6" xfId="2303" xr:uid="{00000000-0005-0000-0000-00000B030000}"/>
    <cellStyle name="20% - Accent5 4 6 2" xfId="6609" xr:uid="{00000000-0005-0000-0000-00000C030000}"/>
    <cellStyle name="20% - Accent5 4 6 2 2" xfId="15056" xr:uid="{F8906F63-9268-4E6E-B548-469F5D66DBF2}"/>
    <cellStyle name="20% - Accent5 4 6 3" xfId="10841" xr:uid="{AEFF298E-C959-493D-9764-F9A8ED0AA840}"/>
    <cellStyle name="20% - Accent5 4 7" xfId="4543" xr:uid="{00000000-0005-0000-0000-00000D030000}"/>
    <cellStyle name="20% - Accent5 4 7 2" xfId="12990" xr:uid="{4DAD38C7-722A-4A51-B74C-308990FE28C5}"/>
    <cellStyle name="20% - Accent5 4 8" xfId="8775" xr:uid="{CEF0A337-BB47-437B-960B-4CAAC8BAFA73}"/>
    <cellStyle name="20% - Accent5 5" xfId="602" xr:uid="{00000000-0005-0000-0000-00000E030000}"/>
    <cellStyle name="20% - Accent5 5 2" xfId="2873" xr:uid="{00000000-0005-0000-0000-00000F030000}"/>
    <cellStyle name="20% - Accent5 5 2 2" xfId="7095" xr:uid="{00000000-0005-0000-0000-000010030000}"/>
    <cellStyle name="20% - Accent5 5 2 2 2" xfId="15542" xr:uid="{8141CB45-F07F-4D9C-AF2D-0FBB012F18E4}"/>
    <cellStyle name="20% - Accent5 5 2 3" xfId="11327" xr:uid="{72F69F98-052E-409F-B8D2-47F37450AC9C}"/>
    <cellStyle name="20% - Accent5 5 3" xfId="4950" xr:uid="{00000000-0005-0000-0000-000011030000}"/>
    <cellStyle name="20% - Accent5 5 3 2" xfId="13397" xr:uid="{4E86B487-8EC8-43CD-BE49-4AB8D1BC724A}"/>
    <cellStyle name="20% - Accent5 5 4" xfId="9182" xr:uid="{7840D201-E632-4ABC-A520-AE6EDBD31298}"/>
    <cellStyle name="20% - Accent5 6" xfId="1055" xr:uid="{00000000-0005-0000-0000-000012030000}"/>
    <cellStyle name="20% - Accent5 6 2" xfId="3286" xr:uid="{00000000-0005-0000-0000-000013030000}"/>
    <cellStyle name="20% - Accent5 6 2 2" xfId="7508" xr:uid="{00000000-0005-0000-0000-000014030000}"/>
    <cellStyle name="20% - Accent5 6 2 2 2" xfId="15955" xr:uid="{87C3DB97-3610-4771-8973-83487C5F974D}"/>
    <cellStyle name="20% - Accent5 6 2 3" xfId="11740" xr:uid="{A2252B37-3907-44B6-AD26-2C6DFCAB0D20}"/>
    <cellStyle name="20% - Accent5 6 3" xfId="5363" xr:uid="{00000000-0005-0000-0000-000015030000}"/>
    <cellStyle name="20% - Accent5 6 3 2" xfId="13810" xr:uid="{865EA77F-88B9-4F75-A2C2-64E074860C2D}"/>
    <cellStyle name="20% - Accent5 6 4" xfId="9595" xr:uid="{5B98471E-4E66-47AC-9909-FE7683B51BD8}"/>
    <cellStyle name="20% - Accent5 7" xfId="1469" xr:uid="{00000000-0005-0000-0000-000016030000}"/>
    <cellStyle name="20% - Accent5 7 2" xfId="3699" xr:uid="{00000000-0005-0000-0000-000017030000}"/>
    <cellStyle name="20% - Accent5 7 2 2" xfId="7921" xr:uid="{00000000-0005-0000-0000-000018030000}"/>
    <cellStyle name="20% - Accent5 7 2 2 2" xfId="16368" xr:uid="{095270BE-982C-429D-B4D5-C03E6ED5CAE8}"/>
    <cellStyle name="20% - Accent5 7 2 3" xfId="12153" xr:uid="{36420EC7-AE4A-48DC-AF0B-E2256C029995}"/>
    <cellStyle name="20% - Accent5 7 3" xfId="5776" xr:uid="{00000000-0005-0000-0000-000019030000}"/>
    <cellStyle name="20% - Accent5 7 3 2" xfId="14223" xr:uid="{9EB965FE-322A-4060-984F-D54BEDC19AA3}"/>
    <cellStyle name="20% - Accent5 7 4" xfId="10008" xr:uid="{B14F38D3-AC0C-4221-BAB3-0EF022ED1D54}"/>
    <cellStyle name="20% - Accent5 8" xfId="1883" xr:uid="{00000000-0005-0000-0000-00001A030000}"/>
    <cellStyle name="20% - Accent5 8 2" xfId="4112" xr:uid="{00000000-0005-0000-0000-00001B030000}"/>
    <cellStyle name="20% - Accent5 8 2 2" xfId="8334" xr:uid="{00000000-0005-0000-0000-00001C030000}"/>
    <cellStyle name="20% - Accent5 8 2 2 2" xfId="16781" xr:uid="{A2D64065-7F8B-44EA-8FF3-AA71E3F275BF}"/>
    <cellStyle name="20% - Accent5 8 2 3" xfId="12566" xr:uid="{433CF767-12AB-4046-9C72-E6E3ABD4B2BF}"/>
    <cellStyle name="20% - Accent5 8 3" xfId="6189" xr:uid="{00000000-0005-0000-0000-00001D030000}"/>
    <cellStyle name="20% - Accent5 8 3 2" xfId="14636" xr:uid="{7BE1D8AF-467B-462A-9401-90EFDFE949A7}"/>
    <cellStyle name="20% - Accent5 8 4" xfId="10421" xr:uid="{79A389D8-6E36-475E-85AC-B17D5EE5E34C}"/>
    <cellStyle name="20% - Accent5 9" xfId="2296" xr:uid="{00000000-0005-0000-0000-00001E030000}"/>
    <cellStyle name="20% - Accent5 9 2" xfId="6602" xr:uid="{00000000-0005-0000-0000-00001F030000}"/>
    <cellStyle name="20% - Accent5 9 2 2" xfId="15049" xr:uid="{BECD8CCA-A393-496B-90E1-1236B051A391}"/>
    <cellStyle name="20% - Accent5 9 3" xfId="10834" xr:uid="{25307FE7-7F90-4314-A94C-1AE5F150D20B}"/>
    <cellStyle name="20% - Accent6" xfId="41" builtinId="50" customBuiltin="1"/>
    <cellStyle name="20% - Accent6 10" xfId="4544" xr:uid="{00000000-0005-0000-0000-000021030000}"/>
    <cellStyle name="20% - Accent6 10 2" xfId="12991" xr:uid="{DE25CBB2-5EFA-40FC-BF2F-99046BCA8B35}"/>
    <cellStyle name="20% - Accent6 11" xfId="8776" xr:uid="{6D5CBC15-4DDA-437F-B122-E5DA0F2399D4}"/>
    <cellStyle name="20% - Accent6 2" xfId="42" xr:uid="{00000000-0005-0000-0000-000022030000}"/>
    <cellStyle name="20% - Accent6 2 10" xfId="8777" xr:uid="{F87CA5F7-7977-40E4-83DF-6AED22AD71AE}"/>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3" xr:uid="{8544EC70-F0F4-44A4-9A93-2148B6961940}"/>
    <cellStyle name="20% - Accent6 2 2 2 2 2 3" xfId="11338" xr:uid="{935B86E9-69CD-4527-BD56-E960AE857F82}"/>
    <cellStyle name="20% - Accent6 2 2 2 2 3" xfId="4961" xr:uid="{00000000-0005-0000-0000-000028030000}"/>
    <cellStyle name="20% - Accent6 2 2 2 2 3 2" xfId="13408" xr:uid="{9E507B9E-CF53-4105-A97D-AD86634C994D}"/>
    <cellStyle name="20% - Accent6 2 2 2 2 4" xfId="9193" xr:uid="{25834683-9FB5-42AA-9820-047D008E3BD7}"/>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6" xr:uid="{698F01D1-2FA6-43FA-AB1E-4DC93EF11EC2}"/>
    <cellStyle name="20% - Accent6 2 2 2 3 2 3" xfId="11751" xr:uid="{631F02A3-7DC1-4446-9B77-987AD435CCB4}"/>
    <cellStyle name="20% - Accent6 2 2 2 3 3" xfId="5374" xr:uid="{00000000-0005-0000-0000-00002C030000}"/>
    <cellStyle name="20% - Accent6 2 2 2 3 3 2" xfId="13821" xr:uid="{DD36CF7F-D382-42E0-AB88-2724E3C3B3A5}"/>
    <cellStyle name="20% - Accent6 2 2 2 3 4" xfId="9606" xr:uid="{E1C44B10-CA59-4294-ACA5-69967ADC37BF}"/>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79" xr:uid="{391E4C36-7ACB-4C16-B051-5D169647B545}"/>
    <cellStyle name="20% - Accent6 2 2 2 4 2 3" xfId="12164" xr:uid="{839136D5-1F58-4DEB-8BBD-3F1F3965BDEB}"/>
    <cellStyle name="20% - Accent6 2 2 2 4 3" xfId="5787" xr:uid="{00000000-0005-0000-0000-000030030000}"/>
    <cellStyle name="20% - Accent6 2 2 2 4 3 2" xfId="14234" xr:uid="{0C51F798-45A3-48BD-9771-3F18FC852E1E}"/>
    <cellStyle name="20% - Accent6 2 2 2 4 4" xfId="10019" xr:uid="{9BE6A7D6-9169-4AB3-B7DB-D9A04C1AECC6}"/>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2" xr:uid="{58718A36-ECBE-4579-A134-50C929B46EAD}"/>
    <cellStyle name="20% - Accent6 2 2 2 5 2 3" xfId="12577" xr:uid="{2DB78C97-9587-4D25-9289-D9FF5BEB61C8}"/>
    <cellStyle name="20% - Accent6 2 2 2 5 3" xfId="6200" xr:uid="{00000000-0005-0000-0000-000034030000}"/>
    <cellStyle name="20% - Accent6 2 2 2 5 3 2" xfId="14647" xr:uid="{B1832570-372E-41B1-BDB4-9D781288234F}"/>
    <cellStyle name="20% - Accent6 2 2 2 5 4" xfId="10432" xr:uid="{845C5090-C499-4EAA-ADA5-37CB11A16021}"/>
    <cellStyle name="20% - Accent6 2 2 2 6" xfId="2307" xr:uid="{00000000-0005-0000-0000-000035030000}"/>
    <cellStyle name="20% - Accent6 2 2 2 6 2" xfId="6613" xr:uid="{00000000-0005-0000-0000-000036030000}"/>
    <cellStyle name="20% - Accent6 2 2 2 6 2 2" xfId="15060" xr:uid="{356D7900-83E5-471C-B633-108E354979BC}"/>
    <cellStyle name="20% - Accent6 2 2 2 6 3" xfId="10845" xr:uid="{9E4F106F-0CFD-4BA7-BFEC-7A23E4CF559E}"/>
    <cellStyle name="20% - Accent6 2 2 2 7" xfId="4547" xr:uid="{00000000-0005-0000-0000-000037030000}"/>
    <cellStyle name="20% - Accent6 2 2 2 7 2" xfId="12994" xr:uid="{92C98BB0-39BB-468E-8D72-A45D1F0EE48C}"/>
    <cellStyle name="20% - Accent6 2 2 2 8" xfId="8779" xr:uid="{B851A7CE-CAA6-40D2-AAC3-4F316A75B951}"/>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2" xr:uid="{231FEDD5-1B0B-4314-A162-9D9072C85774}"/>
    <cellStyle name="20% - Accent6 2 2 3 2 3" xfId="11337" xr:uid="{8F413C18-2DFF-4571-ACBA-80DAD99BA4FE}"/>
    <cellStyle name="20% - Accent6 2 2 3 3" xfId="4960" xr:uid="{00000000-0005-0000-0000-00003B030000}"/>
    <cellStyle name="20% - Accent6 2 2 3 3 2" xfId="13407" xr:uid="{397D0975-6142-4A59-BACC-33E4F1776D76}"/>
    <cellStyle name="20% - Accent6 2 2 3 4" xfId="9192" xr:uid="{C4C8750D-4C22-4519-827E-A9BF3E9E4527}"/>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5" xr:uid="{21319CF1-4C9F-496B-9F42-BC9B06A0FB25}"/>
    <cellStyle name="20% - Accent6 2 2 4 2 3" xfId="11750" xr:uid="{7833D767-98DA-4D04-A823-7DBC50B2D38D}"/>
    <cellStyle name="20% - Accent6 2 2 4 3" xfId="5373" xr:uid="{00000000-0005-0000-0000-00003F030000}"/>
    <cellStyle name="20% - Accent6 2 2 4 3 2" xfId="13820" xr:uid="{99C2558C-8F56-4232-9CF7-416520730F03}"/>
    <cellStyle name="20% - Accent6 2 2 4 4" xfId="9605" xr:uid="{B0C20180-1294-4BE8-B297-790CF2EEDB8A}"/>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78" xr:uid="{822B9259-DDF7-44B6-A267-AB5AD64698FB}"/>
    <cellStyle name="20% - Accent6 2 2 5 2 3" xfId="12163" xr:uid="{8AE771AF-2262-499A-8487-3C93ED682B7B}"/>
    <cellStyle name="20% - Accent6 2 2 5 3" xfId="5786" xr:uid="{00000000-0005-0000-0000-000043030000}"/>
    <cellStyle name="20% - Accent6 2 2 5 3 2" xfId="14233" xr:uid="{C7CC4FD5-1BA0-429C-B6F6-9F4420162254}"/>
    <cellStyle name="20% - Accent6 2 2 5 4" xfId="10018" xr:uid="{DAFC74AA-5BD6-403E-9D60-3512CC42049C}"/>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1" xr:uid="{80D0AA4D-9CE9-4019-981E-CD5D40D9C296}"/>
    <cellStyle name="20% - Accent6 2 2 6 2 3" xfId="12576" xr:uid="{64F93905-6F91-4840-A92C-A098DDF02D5C}"/>
    <cellStyle name="20% - Accent6 2 2 6 3" xfId="6199" xr:uid="{00000000-0005-0000-0000-000047030000}"/>
    <cellStyle name="20% - Accent6 2 2 6 3 2" xfId="14646" xr:uid="{ED0783BD-7C8B-4977-ADA4-5F028E6E645C}"/>
    <cellStyle name="20% - Accent6 2 2 6 4" xfId="10431" xr:uid="{94F5EB3B-5B5E-4762-AB95-114031EC3B01}"/>
    <cellStyle name="20% - Accent6 2 2 7" xfId="2306" xr:uid="{00000000-0005-0000-0000-000048030000}"/>
    <cellStyle name="20% - Accent6 2 2 7 2" xfId="6612" xr:uid="{00000000-0005-0000-0000-000049030000}"/>
    <cellStyle name="20% - Accent6 2 2 7 2 2" xfId="15059" xr:uid="{CE84CAD6-C189-4B05-8431-7D2EBB37975B}"/>
    <cellStyle name="20% - Accent6 2 2 7 3" xfId="10844" xr:uid="{ACDB1875-FE85-4CC3-BCB1-C4252134B04F}"/>
    <cellStyle name="20% - Accent6 2 2 8" xfId="4546" xr:uid="{00000000-0005-0000-0000-00004A030000}"/>
    <cellStyle name="20% - Accent6 2 2 8 2" xfId="12993" xr:uid="{74C39BF5-9B5E-45E0-BE71-7FC9367A18A6}"/>
    <cellStyle name="20% - Accent6 2 2 9" xfId="8778" xr:uid="{91DACCAF-DAB5-420B-9485-73FAEAF5CFE4}"/>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4" xr:uid="{AAC79700-46C6-424C-89C5-C0C0E891310E}"/>
    <cellStyle name="20% - Accent6 2 3 2 2 3" xfId="11339" xr:uid="{8A2F814F-50D7-4594-85F3-17FB418A9A56}"/>
    <cellStyle name="20% - Accent6 2 3 2 3" xfId="4962" xr:uid="{00000000-0005-0000-0000-00004F030000}"/>
    <cellStyle name="20% - Accent6 2 3 2 3 2" xfId="13409" xr:uid="{A8107A5C-EF6B-45B8-9488-E196BC08CF3C}"/>
    <cellStyle name="20% - Accent6 2 3 2 4" xfId="9194" xr:uid="{1BD3BA83-87E9-4956-AADE-807D3CC4F181}"/>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67" xr:uid="{66084264-E3D6-4AA8-907A-467DE8E7A30A}"/>
    <cellStyle name="20% - Accent6 2 3 3 2 3" xfId="11752" xr:uid="{9A5A0C9C-A86C-473A-9D75-854C053E21B1}"/>
    <cellStyle name="20% - Accent6 2 3 3 3" xfId="5375" xr:uid="{00000000-0005-0000-0000-000053030000}"/>
    <cellStyle name="20% - Accent6 2 3 3 3 2" xfId="13822" xr:uid="{A75EE693-CC24-4062-97DA-05D57B8D8AF4}"/>
    <cellStyle name="20% - Accent6 2 3 3 4" xfId="9607" xr:uid="{E9B88F50-B586-4B93-8B82-2A643A4B4548}"/>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0" xr:uid="{0155F617-3459-48E8-8F84-2FBAC36DC82A}"/>
    <cellStyle name="20% - Accent6 2 3 4 2 3" xfId="12165" xr:uid="{564FA12D-F9E9-4FA8-A695-88050F1D99E2}"/>
    <cellStyle name="20% - Accent6 2 3 4 3" xfId="5788" xr:uid="{00000000-0005-0000-0000-000057030000}"/>
    <cellStyle name="20% - Accent6 2 3 4 3 2" xfId="14235" xr:uid="{D923FD15-EA6A-40E7-A4EA-585322E95D8F}"/>
    <cellStyle name="20% - Accent6 2 3 4 4" xfId="10020" xr:uid="{748D05A4-5727-4B38-A3DA-0E54CD37E27B}"/>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3" xr:uid="{1FCC11AD-60EF-48A7-9222-BC56741DC04F}"/>
    <cellStyle name="20% - Accent6 2 3 5 2 3" xfId="12578" xr:uid="{EDC2C975-5349-4BB0-ADF6-9A85BCEFE0DE}"/>
    <cellStyle name="20% - Accent6 2 3 5 3" xfId="6201" xr:uid="{00000000-0005-0000-0000-00005B030000}"/>
    <cellStyle name="20% - Accent6 2 3 5 3 2" xfId="14648" xr:uid="{17F16111-A5DD-4377-A7BA-6E8DFE77732F}"/>
    <cellStyle name="20% - Accent6 2 3 5 4" xfId="10433" xr:uid="{6111A339-6769-413B-A4AC-EA7E069D70E6}"/>
    <cellStyle name="20% - Accent6 2 3 6" xfId="2308" xr:uid="{00000000-0005-0000-0000-00005C030000}"/>
    <cellStyle name="20% - Accent6 2 3 6 2" xfId="6614" xr:uid="{00000000-0005-0000-0000-00005D030000}"/>
    <cellStyle name="20% - Accent6 2 3 6 2 2" xfId="15061" xr:uid="{0CA45D4C-68CE-4FF3-BA67-74632D207525}"/>
    <cellStyle name="20% - Accent6 2 3 6 3" xfId="10846" xr:uid="{C820CC3D-604A-487D-8A9C-1053AA46773D}"/>
    <cellStyle name="20% - Accent6 2 3 7" xfId="4548" xr:uid="{00000000-0005-0000-0000-00005E030000}"/>
    <cellStyle name="20% - Accent6 2 3 7 2" xfId="12995" xr:uid="{B466D457-0F59-4ABB-A931-44E7F780EB09}"/>
    <cellStyle name="20% - Accent6 2 3 8" xfId="8780" xr:uid="{425E82F1-0258-4331-BEF0-E361D86E8642}"/>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1" xr:uid="{E46A94B6-90BC-4670-8DFD-D213F15D5378}"/>
    <cellStyle name="20% - Accent6 2 4 2 3" xfId="11336" xr:uid="{5CA31A8E-8C37-48C8-80D7-97CAA64B5F70}"/>
    <cellStyle name="20% - Accent6 2 4 3" xfId="4959" xr:uid="{00000000-0005-0000-0000-000062030000}"/>
    <cellStyle name="20% - Accent6 2 4 3 2" xfId="13406" xr:uid="{715C9D0D-A917-4D26-BA47-C71FAB94FF40}"/>
    <cellStyle name="20% - Accent6 2 4 4" xfId="9191" xr:uid="{40309978-7911-4C71-9752-AAC97276AC1D}"/>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4" xr:uid="{2243F9CD-A817-4FA7-9452-C8E74571F58F}"/>
    <cellStyle name="20% - Accent6 2 5 2 3" xfId="11749" xr:uid="{4794AA62-7825-4FD1-BE65-412BB4533497}"/>
    <cellStyle name="20% - Accent6 2 5 3" xfId="5372" xr:uid="{00000000-0005-0000-0000-000066030000}"/>
    <cellStyle name="20% - Accent6 2 5 3 2" xfId="13819" xr:uid="{58CEBBE0-C2A0-49CA-9E12-BEF9823ECE0E}"/>
    <cellStyle name="20% - Accent6 2 5 4" xfId="9604" xr:uid="{4F843116-3454-48A8-90E2-8DB8DD6B9542}"/>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77" xr:uid="{B93B9C51-6273-4883-AFAE-1FDF21FBE705}"/>
    <cellStyle name="20% - Accent6 2 6 2 3" xfId="12162" xr:uid="{FA4F9DBD-C0DE-48FD-A574-369DE6FAC9FB}"/>
    <cellStyle name="20% - Accent6 2 6 3" xfId="5785" xr:uid="{00000000-0005-0000-0000-00006A030000}"/>
    <cellStyle name="20% - Accent6 2 6 3 2" xfId="14232" xr:uid="{68169F65-ECC5-459F-AB1F-3F1C2324DD6D}"/>
    <cellStyle name="20% - Accent6 2 6 4" xfId="10017" xr:uid="{D1F5D691-6306-42C0-8254-7D35005DE163}"/>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0" xr:uid="{FBFC7C0B-DA1D-4BED-B8C9-61AC7CF06C92}"/>
    <cellStyle name="20% - Accent6 2 7 2 3" xfId="12575" xr:uid="{0D6E0099-5D69-4388-BD0C-69562764DD54}"/>
    <cellStyle name="20% - Accent6 2 7 3" xfId="6198" xr:uid="{00000000-0005-0000-0000-00006E030000}"/>
    <cellStyle name="20% - Accent6 2 7 3 2" xfId="14645" xr:uid="{9DF43C6B-22C1-4C19-A07F-266710D28CC9}"/>
    <cellStyle name="20% - Accent6 2 7 4" xfId="10430" xr:uid="{A7E085DB-68A9-40C1-8DBA-309B9F1FD5BD}"/>
    <cellStyle name="20% - Accent6 2 8" xfId="2305" xr:uid="{00000000-0005-0000-0000-00006F030000}"/>
    <cellStyle name="20% - Accent6 2 8 2" xfId="6611" xr:uid="{00000000-0005-0000-0000-000070030000}"/>
    <cellStyle name="20% - Accent6 2 8 2 2" xfId="15058" xr:uid="{00DA0EE6-272F-4D94-9982-BDE093FB8BED}"/>
    <cellStyle name="20% - Accent6 2 8 3" xfId="10843" xr:uid="{419CD99F-4BEB-4536-BB06-B960DBF403FC}"/>
    <cellStyle name="20% - Accent6 2 9" xfId="4545" xr:uid="{00000000-0005-0000-0000-000071030000}"/>
    <cellStyle name="20% - Accent6 2 9 2" xfId="12992" xr:uid="{0DAC4B53-C2AE-4C3B-967E-E00D74B12CF2}"/>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6" xr:uid="{996E5A9B-D50C-4E93-A524-00F5314A04B7}"/>
    <cellStyle name="20% - Accent6 3 2 2 2 3" xfId="11341" xr:uid="{B8F94DA9-FE36-401A-B2B3-01E261556D9C}"/>
    <cellStyle name="20% - Accent6 3 2 2 3" xfId="4964" xr:uid="{00000000-0005-0000-0000-000077030000}"/>
    <cellStyle name="20% - Accent6 3 2 2 3 2" xfId="13411" xr:uid="{189986A7-0958-4310-90D8-C8B156E17426}"/>
    <cellStyle name="20% - Accent6 3 2 2 4" xfId="9196" xr:uid="{CAE91424-602A-46EF-9F5D-8E448F808E17}"/>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69" xr:uid="{BE498F02-DE3C-4E06-8E2D-F37239CA21E0}"/>
    <cellStyle name="20% - Accent6 3 2 3 2 3" xfId="11754" xr:uid="{B746A762-D71E-46CB-8449-A3AA45FE8EA3}"/>
    <cellStyle name="20% - Accent6 3 2 3 3" xfId="5377" xr:uid="{00000000-0005-0000-0000-00007B030000}"/>
    <cellStyle name="20% - Accent6 3 2 3 3 2" xfId="13824" xr:uid="{166E7A24-29D7-48DE-841A-22314F4E3009}"/>
    <cellStyle name="20% - Accent6 3 2 3 4" xfId="9609" xr:uid="{4FE2A3C2-FD72-4D5D-9FD1-C0175A2F5A01}"/>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2" xr:uid="{A5487DFD-9957-4627-98FD-9B332574E113}"/>
    <cellStyle name="20% - Accent6 3 2 4 2 3" xfId="12167" xr:uid="{D2B14451-5DFD-44B3-BF10-EA86F92319BC}"/>
    <cellStyle name="20% - Accent6 3 2 4 3" xfId="5790" xr:uid="{00000000-0005-0000-0000-00007F030000}"/>
    <cellStyle name="20% - Accent6 3 2 4 3 2" xfId="14237" xr:uid="{A2F87A61-5157-4582-B283-063929100084}"/>
    <cellStyle name="20% - Accent6 3 2 4 4" xfId="10022" xr:uid="{BCD64481-0510-414E-95D6-7CB05D8AA972}"/>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5" xr:uid="{D87D2DC5-5ADA-4F35-B538-38C90140EE59}"/>
    <cellStyle name="20% - Accent6 3 2 5 2 3" xfId="12580" xr:uid="{61191F0D-377A-4735-A77C-CAB6860E4328}"/>
    <cellStyle name="20% - Accent6 3 2 5 3" xfId="6203" xr:uid="{00000000-0005-0000-0000-000083030000}"/>
    <cellStyle name="20% - Accent6 3 2 5 3 2" xfId="14650" xr:uid="{6711CC57-2FE0-43F9-AD4B-64D660A0AE88}"/>
    <cellStyle name="20% - Accent6 3 2 5 4" xfId="10435" xr:uid="{BC28A82C-1ED9-41BD-800D-77201BC9916D}"/>
    <cellStyle name="20% - Accent6 3 2 6" xfId="2310" xr:uid="{00000000-0005-0000-0000-000084030000}"/>
    <cellStyle name="20% - Accent6 3 2 6 2" xfId="6616" xr:uid="{00000000-0005-0000-0000-000085030000}"/>
    <cellStyle name="20% - Accent6 3 2 6 2 2" xfId="15063" xr:uid="{1A636CD5-4314-4551-B44D-F59367C0932A}"/>
    <cellStyle name="20% - Accent6 3 2 6 3" xfId="10848" xr:uid="{85A135FB-1785-494E-B049-91C16C91C411}"/>
    <cellStyle name="20% - Accent6 3 2 7" xfId="4550" xr:uid="{00000000-0005-0000-0000-000086030000}"/>
    <cellStyle name="20% - Accent6 3 2 7 2" xfId="12997" xr:uid="{1E67D8C4-DB49-42CD-B845-10A934B926AD}"/>
    <cellStyle name="20% - Accent6 3 2 8" xfId="8782" xr:uid="{19CA4BFF-B07E-4821-9C26-672C129231A8}"/>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5" xr:uid="{A53CF61C-D60F-4122-A1AF-EE235FFF20FC}"/>
    <cellStyle name="20% - Accent6 3 3 2 3" xfId="11340" xr:uid="{9FF42167-7B9D-4260-A9E3-1850128CFE64}"/>
    <cellStyle name="20% - Accent6 3 3 3" xfId="4963" xr:uid="{00000000-0005-0000-0000-00008A030000}"/>
    <cellStyle name="20% - Accent6 3 3 3 2" xfId="13410" xr:uid="{D838F9D2-70A3-4410-9928-7FD1D9942C86}"/>
    <cellStyle name="20% - Accent6 3 3 4" xfId="9195" xr:uid="{6724A603-08E2-4F9B-A5FA-A13470C11370}"/>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68" xr:uid="{20A90C9D-D437-4455-8307-DC7C1A9ABAA9}"/>
    <cellStyle name="20% - Accent6 3 4 2 3" xfId="11753" xr:uid="{B6FAAA12-A62E-419F-BC25-DBF809F98AB6}"/>
    <cellStyle name="20% - Accent6 3 4 3" xfId="5376" xr:uid="{00000000-0005-0000-0000-00008E030000}"/>
    <cellStyle name="20% - Accent6 3 4 3 2" xfId="13823" xr:uid="{C7520D33-91DB-4B83-9597-A965ABB8502F}"/>
    <cellStyle name="20% - Accent6 3 4 4" xfId="9608" xr:uid="{46970373-69E1-455B-8A91-FEA1D0C74DFD}"/>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1" xr:uid="{8AE0A8E3-734C-4187-9646-AD02AEC2FC72}"/>
    <cellStyle name="20% - Accent6 3 5 2 3" xfId="12166" xr:uid="{B4F84442-F938-46A2-A2F4-DD1E9AEDF69E}"/>
    <cellStyle name="20% - Accent6 3 5 3" xfId="5789" xr:uid="{00000000-0005-0000-0000-000092030000}"/>
    <cellStyle name="20% - Accent6 3 5 3 2" xfId="14236" xr:uid="{1792B558-6854-4A1D-81AC-402618E8FD4F}"/>
    <cellStyle name="20% - Accent6 3 5 4" xfId="10021" xr:uid="{EA690B92-2F75-4835-8034-FB72FE9D5BE4}"/>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4" xr:uid="{D4472705-0D4C-44F5-B77A-30070C75CB9D}"/>
    <cellStyle name="20% - Accent6 3 6 2 3" xfId="12579" xr:uid="{33383CBF-A233-4B05-ABC2-081339BEE036}"/>
    <cellStyle name="20% - Accent6 3 6 3" xfId="6202" xr:uid="{00000000-0005-0000-0000-000096030000}"/>
    <cellStyle name="20% - Accent6 3 6 3 2" xfId="14649" xr:uid="{BCFDD36C-3B5F-4450-BE48-F80679A20C44}"/>
    <cellStyle name="20% - Accent6 3 6 4" xfId="10434" xr:uid="{A2D00156-13B6-4A6D-AED2-313CC629855B}"/>
    <cellStyle name="20% - Accent6 3 7" xfId="2309" xr:uid="{00000000-0005-0000-0000-000097030000}"/>
    <cellStyle name="20% - Accent6 3 7 2" xfId="6615" xr:uid="{00000000-0005-0000-0000-000098030000}"/>
    <cellStyle name="20% - Accent6 3 7 2 2" xfId="15062" xr:uid="{169DB3C4-F48B-4A1F-8147-A732E181B1D7}"/>
    <cellStyle name="20% - Accent6 3 7 3" xfId="10847" xr:uid="{2D947ACE-0A6F-4D5E-B008-2AEEBFFD5D83}"/>
    <cellStyle name="20% - Accent6 3 8" xfId="4549" xr:uid="{00000000-0005-0000-0000-000099030000}"/>
    <cellStyle name="20% - Accent6 3 8 2" xfId="12996" xr:uid="{50FD23F9-991D-4454-B3E7-2393D0684CF5}"/>
    <cellStyle name="20% - Accent6 3 9" xfId="8781" xr:uid="{0844CEFE-D2F7-429B-80DC-7A2CAE2D3573}"/>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57" xr:uid="{12931645-B764-4175-9453-F90C2C6E6E98}"/>
    <cellStyle name="20% - Accent6 4 2 2 3" xfId="11342" xr:uid="{CBB80C89-F127-46B7-A9A9-24DC4F9BDEC0}"/>
    <cellStyle name="20% - Accent6 4 2 3" xfId="4965" xr:uid="{00000000-0005-0000-0000-00009E030000}"/>
    <cellStyle name="20% - Accent6 4 2 3 2" xfId="13412" xr:uid="{6DA2FFF0-5882-4A6B-A011-C5A636B728B5}"/>
    <cellStyle name="20% - Accent6 4 2 4" xfId="9197" xr:uid="{3985F7B6-74DC-4D1A-B8CA-61738B43B11F}"/>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0" xr:uid="{B6826CDF-AF3E-446D-88C6-EEFBDC55736F}"/>
    <cellStyle name="20% - Accent6 4 3 2 3" xfId="11755" xr:uid="{6A166834-B4DB-4E36-B64F-47C5EAA204CC}"/>
    <cellStyle name="20% - Accent6 4 3 3" xfId="5378" xr:uid="{00000000-0005-0000-0000-0000A2030000}"/>
    <cellStyle name="20% - Accent6 4 3 3 2" xfId="13825" xr:uid="{70155BF4-3141-4F08-B423-D80B41B53FFE}"/>
    <cellStyle name="20% - Accent6 4 3 4" xfId="9610" xr:uid="{AF0BFB44-C30F-4709-B1C7-1BB3F436F3D0}"/>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3" xr:uid="{1B8150C2-F1BA-460F-A0E8-22CF8FA9A270}"/>
    <cellStyle name="20% - Accent6 4 4 2 3" xfId="12168" xr:uid="{26EAF126-367D-43F2-B037-B8046FBC46F4}"/>
    <cellStyle name="20% - Accent6 4 4 3" xfId="5791" xr:uid="{00000000-0005-0000-0000-0000A6030000}"/>
    <cellStyle name="20% - Accent6 4 4 3 2" xfId="14238" xr:uid="{D1463DE0-29AF-4C00-A7C6-E157A710C696}"/>
    <cellStyle name="20% - Accent6 4 4 4" xfId="10023" xr:uid="{61DF57B4-C0E6-4927-9303-A86056B58284}"/>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6" xr:uid="{72F9C225-2ECB-44F8-9371-E7DBBDB88355}"/>
    <cellStyle name="20% - Accent6 4 5 2 3" xfId="12581" xr:uid="{F0FBBBAE-3798-4095-ADB3-392B9A54E08B}"/>
    <cellStyle name="20% - Accent6 4 5 3" xfId="6204" xr:uid="{00000000-0005-0000-0000-0000AA030000}"/>
    <cellStyle name="20% - Accent6 4 5 3 2" xfId="14651" xr:uid="{9DD0B52B-20A2-48FC-97A9-17519B57C602}"/>
    <cellStyle name="20% - Accent6 4 5 4" xfId="10436" xr:uid="{E0191A29-0D4B-476E-ABD3-B4CDB225EF9F}"/>
    <cellStyle name="20% - Accent6 4 6" xfId="2311" xr:uid="{00000000-0005-0000-0000-0000AB030000}"/>
    <cellStyle name="20% - Accent6 4 6 2" xfId="6617" xr:uid="{00000000-0005-0000-0000-0000AC030000}"/>
    <cellStyle name="20% - Accent6 4 6 2 2" xfId="15064" xr:uid="{0B22954E-908D-4BE5-A388-3B8843EF0740}"/>
    <cellStyle name="20% - Accent6 4 6 3" xfId="10849" xr:uid="{B1F967E0-964E-4202-8E25-7450797DD001}"/>
    <cellStyle name="20% - Accent6 4 7" xfId="4551" xr:uid="{00000000-0005-0000-0000-0000AD030000}"/>
    <cellStyle name="20% - Accent6 4 7 2" xfId="12998" xr:uid="{E9271917-EAC4-4E27-B3B9-26A31FA315F9}"/>
    <cellStyle name="20% - Accent6 4 8" xfId="8783" xr:uid="{C537611B-BD40-4427-863C-D2C1952280CB}"/>
    <cellStyle name="20% - Accent6 5" xfId="610" xr:uid="{00000000-0005-0000-0000-0000AE030000}"/>
    <cellStyle name="20% - Accent6 5 2" xfId="2881" xr:uid="{00000000-0005-0000-0000-0000AF030000}"/>
    <cellStyle name="20% - Accent6 5 2 2" xfId="7103" xr:uid="{00000000-0005-0000-0000-0000B0030000}"/>
    <cellStyle name="20% - Accent6 5 2 2 2" xfId="15550" xr:uid="{4CFDE6AC-4FC9-4544-A8F5-2E3CD5B4B64B}"/>
    <cellStyle name="20% - Accent6 5 2 3" xfId="11335" xr:uid="{A0DF545C-FA6F-4505-BD05-375FBA181483}"/>
    <cellStyle name="20% - Accent6 5 3" xfId="4958" xr:uid="{00000000-0005-0000-0000-0000B1030000}"/>
    <cellStyle name="20% - Accent6 5 3 2" xfId="13405" xr:uid="{32751C2C-FBFF-44E7-A664-DA8E2DF93B2F}"/>
    <cellStyle name="20% - Accent6 5 4" xfId="9190" xr:uid="{BD8734B4-A32E-4E19-BA1C-391BB2056C75}"/>
    <cellStyle name="20% - Accent6 6" xfId="1063" xr:uid="{00000000-0005-0000-0000-0000B2030000}"/>
    <cellStyle name="20% - Accent6 6 2" xfId="3294" xr:uid="{00000000-0005-0000-0000-0000B3030000}"/>
    <cellStyle name="20% - Accent6 6 2 2" xfId="7516" xr:uid="{00000000-0005-0000-0000-0000B4030000}"/>
    <cellStyle name="20% - Accent6 6 2 2 2" xfId="15963" xr:uid="{FD23D830-9E5F-4864-823D-E47447676861}"/>
    <cellStyle name="20% - Accent6 6 2 3" xfId="11748" xr:uid="{B5B7F157-8354-40EC-A8E7-EA5A9B3B2AFA}"/>
    <cellStyle name="20% - Accent6 6 3" xfId="5371" xr:uid="{00000000-0005-0000-0000-0000B5030000}"/>
    <cellStyle name="20% - Accent6 6 3 2" xfId="13818" xr:uid="{EC47B8D1-8A8B-494D-BA32-E5F7B9DDFAF9}"/>
    <cellStyle name="20% - Accent6 6 4" xfId="9603" xr:uid="{EEAC6F1B-F9A1-40B8-B56A-A46B52E96F8F}"/>
    <cellStyle name="20% - Accent6 7" xfId="1477" xr:uid="{00000000-0005-0000-0000-0000B6030000}"/>
    <cellStyle name="20% - Accent6 7 2" xfId="3707" xr:uid="{00000000-0005-0000-0000-0000B7030000}"/>
    <cellStyle name="20% - Accent6 7 2 2" xfId="7929" xr:uid="{00000000-0005-0000-0000-0000B8030000}"/>
    <cellStyle name="20% - Accent6 7 2 2 2" xfId="16376" xr:uid="{806B2C71-5978-4793-A37F-74EC404B312B}"/>
    <cellStyle name="20% - Accent6 7 2 3" xfId="12161" xr:uid="{0F324EA4-E02E-490A-9969-D8634DD69324}"/>
    <cellStyle name="20% - Accent6 7 3" xfId="5784" xr:uid="{00000000-0005-0000-0000-0000B9030000}"/>
    <cellStyle name="20% - Accent6 7 3 2" xfId="14231" xr:uid="{A6F98069-2EA0-4EC7-AC7E-9C8104AEFB5A}"/>
    <cellStyle name="20% - Accent6 7 4" xfId="10016" xr:uid="{79B38D8D-1B58-4554-9660-E308E60C5D48}"/>
    <cellStyle name="20% - Accent6 8" xfId="1891" xr:uid="{00000000-0005-0000-0000-0000BA030000}"/>
    <cellStyle name="20% - Accent6 8 2" xfId="4120" xr:uid="{00000000-0005-0000-0000-0000BB030000}"/>
    <cellStyle name="20% - Accent6 8 2 2" xfId="8342" xr:uid="{00000000-0005-0000-0000-0000BC030000}"/>
    <cellStyle name="20% - Accent6 8 2 2 2" xfId="16789" xr:uid="{91608A54-BD19-40FF-BB35-3BBD4D7BC101}"/>
    <cellStyle name="20% - Accent6 8 2 3" xfId="12574" xr:uid="{4A3DE215-A485-4F72-9B9F-A976EC265FBA}"/>
    <cellStyle name="20% - Accent6 8 3" xfId="6197" xr:uid="{00000000-0005-0000-0000-0000BD030000}"/>
    <cellStyle name="20% - Accent6 8 3 2" xfId="14644" xr:uid="{0083E5A2-F526-4E87-9E47-C7E1991E5721}"/>
    <cellStyle name="20% - Accent6 8 4" xfId="10429" xr:uid="{EE583555-0496-48A3-8D7F-9D9C31AD8B48}"/>
    <cellStyle name="20% - Accent6 9" xfId="2304" xr:uid="{00000000-0005-0000-0000-0000BE030000}"/>
    <cellStyle name="20% - Accent6 9 2" xfId="6610" xr:uid="{00000000-0005-0000-0000-0000BF030000}"/>
    <cellStyle name="20% - Accent6 9 2 2" xfId="15057" xr:uid="{D4228BEF-4E5C-49A9-A29C-1B7BDF8B881B}"/>
    <cellStyle name="20% - Accent6 9 3" xfId="10842" xr:uid="{80088FE5-D6E4-4989-A237-D7F8A67609F0}"/>
    <cellStyle name="40% - Accent1" xfId="49" builtinId="31" customBuiltin="1"/>
    <cellStyle name="40% - Accent1 10" xfId="4552" xr:uid="{00000000-0005-0000-0000-0000C1030000}"/>
    <cellStyle name="40% - Accent1 10 2" xfId="12999" xr:uid="{C433D51C-3112-4D47-9283-295575B18D95}"/>
    <cellStyle name="40% - Accent1 11" xfId="8784" xr:uid="{3ED49A8E-5A6C-4DA1-BA2E-5DAFDBA6A8B6}"/>
    <cellStyle name="40% - Accent1 2" xfId="50" xr:uid="{00000000-0005-0000-0000-0000C2030000}"/>
    <cellStyle name="40% - Accent1 2 10" xfId="8785" xr:uid="{E7048F7F-8366-47AF-96D3-49850CFD0FA6}"/>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1" xr:uid="{A439CBE0-BEF2-45B2-B3A2-92F95469DB32}"/>
    <cellStyle name="40% - Accent1 2 2 2 2 2 3" xfId="11346" xr:uid="{5D070C4E-1737-452A-8575-9B7AE964235B}"/>
    <cellStyle name="40% - Accent1 2 2 2 2 3" xfId="4969" xr:uid="{00000000-0005-0000-0000-0000C8030000}"/>
    <cellStyle name="40% - Accent1 2 2 2 2 3 2" xfId="13416" xr:uid="{388BD852-8073-4847-8878-6C4F47A23352}"/>
    <cellStyle name="40% - Accent1 2 2 2 2 4" xfId="9201" xr:uid="{46879BAF-45EC-49AB-B584-608025185DB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4" xr:uid="{27F4DFD7-D92E-4CD7-974B-34FF8B7F7CD3}"/>
    <cellStyle name="40% - Accent1 2 2 2 3 2 3" xfId="11759" xr:uid="{68299883-155A-4C03-BCA9-BF877739E9C7}"/>
    <cellStyle name="40% - Accent1 2 2 2 3 3" xfId="5382" xr:uid="{00000000-0005-0000-0000-0000CC030000}"/>
    <cellStyle name="40% - Accent1 2 2 2 3 3 2" xfId="13829" xr:uid="{995BDFB9-8CEE-46EC-96DD-7857E2CA5291}"/>
    <cellStyle name="40% - Accent1 2 2 2 3 4" xfId="9614" xr:uid="{6F010BA5-5EA8-42D3-88BF-68FA09974F82}"/>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87" xr:uid="{CEE8AAA6-FC71-4005-AE30-076F4D621E33}"/>
    <cellStyle name="40% - Accent1 2 2 2 4 2 3" xfId="12172" xr:uid="{6264F20E-DBC7-40A1-855F-A94D138FB741}"/>
    <cellStyle name="40% - Accent1 2 2 2 4 3" xfId="5795" xr:uid="{00000000-0005-0000-0000-0000D0030000}"/>
    <cellStyle name="40% - Accent1 2 2 2 4 3 2" xfId="14242" xr:uid="{2C8B00E3-3519-42DE-91F4-35BF14763F12}"/>
    <cellStyle name="40% - Accent1 2 2 2 4 4" xfId="10027" xr:uid="{92552EED-0E99-43B7-8E2E-EC7379744163}"/>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0" xr:uid="{7A21F666-52C1-4830-A30D-30E830415809}"/>
    <cellStyle name="40% - Accent1 2 2 2 5 2 3" xfId="12585" xr:uid="{59ED1F44-6D1F-4E8C-AA36-9960F1F6C0DC}"/>
    <cellStyle name="40% - Accent1 2 2 2 5 3" xfId="6208" xr:uid="{00000000-0005-0000-0000-0000D4030000}"/>
    <cellStyle name="40% - Accent1 2 2 2 5 3 2" xfId="14655" xr:uid="{4B61D4F2-3D65-455F-AE36-7ABC2AF2CF52}"/>
    <cellStyle name="40% - Accent1 2 2 2 5 4" xfId="10440" xr:uid="{EE32CFAE-EDE1-464D-8556-D62AE3F2E4AC}"/>
    <cellStyle name="40% - Accent1 2 2 2 6" xfId="2315" xr:uid="{00000000-0005-0000-0000-0000D5030000}"/>
    <cellStyle name="40% - Accent1 2 2 2 6 2" xfId="6621" xr:uid="{00000000-0005-0000-0000-0000D6030000}"/>
    <cellStyle name="40% - Accent1 2 2 2 6 2 2" xfId="15068" xr:uid="{FC70EE30-AA2E-4D50-9D6B-91EB604C686C}"/>
    <cellStyle name="40% - Accent1 2 2 2 6 3" xfId="10853" xr:uid="{7B357B07-4F9F-4F60-85EC-54B5E77C986A}"/>
    <cellStyle name="40% - Accent1 2 2 2 7" xfId="4555" xr:uid="{00000000-0005-0000-0000-0000D7030000}"/>
    <cellStyle name="40% - Accent1 2 2 2 7 2" xfId="13002" xr:uid="{78028E5A-4357-43E3-B683-88AD9FA19505}"/>
    <cellStyle name="40% - Accent1 2 2 2 8" xfId="8787" xr:uid="{D32F4892-D304-47DF-8919-09048260A9E8}"/>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0" xr:uid="{9E194E62-509F-44D4-992D-C2EEA9372A59}"/>
    <cellStyle name="40% - Accent1 2 2 3 2 3" xfId="11345" xr:uid="{D31E93E7-DD08-4CBC-BAD3-178E19AB7DE0}"/>
    <cellStyle name="40% - Accent1 2 2 3 3" xfId="4968" xr:uid="{00000000-0005-0000-0000-0000DB030000}"/>
    <cellStyle name="40% - Accent1 2 2 3 3 2" xfId="13415" xr:uid="{3BD0C548-B4E6-45EF-8410-DA81A103A6A4}"/>
    <cellStyle name="40% - Accent1 2 2 3 4" xfId="9200" xr:uid="{B206D4D2-BE4D-45D4-B347-5BAB586A6B1A}"/>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3" xr:uid="{29675CA2-D074-4CF2-8B8A-98B9BAA81203}"/>
    <cellStyle name="40% - Accent1 2 2 4 2 3" xfId="11758" xr:uid="{4CA63D91-A41A-440C-A632-0573DC95B06D}"/>
    <cellStyle name="40% - Accent1 2 2 4 3" xfId="5381" xr:uid="{00000000-0005-0000-0000-0000DF030000}"/>
    <cellStyle name="40% - Accent1 2 2 4 3 2" xfId="13828" xr:uid="{D694E5EF-8789-4FB7-BD29-4E11F4E49C49}"/>
    <cellStyle name="40% - Accent1 2 2 4 4" xfId="9613" xr:uid="{24C98F13-87A2-4FC8-91E2-74DF1B58CB0B}"/>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6" xr:uid="{394FFBC9-986C-4F39-844A-9492CF4931D5}"/>
    <cellStyle name="40% - Accent1 2 2 5 2 3" xfId="12171" xr:uid="{0E6D3CDD-C32B-41D0-94E4-67B7B0FE2B87}"/>
    <cellStyle name="40% - Accent1 2 2 5 3" xfId="5794" xr:uid="{00000000-0005-0000-0000-0000E3030000}"/>
    <cellStyle name="40% - Accent1 2 2 5 3 2" xfId="14241" xr:uid="{41459872-0BB1-4AE5-91FD-51843A2B04FF}"/>
    <cellStyle name="40% - Accent1 2 2 5 4" xfId="10026" xr:uid="{B0FFDD14-0FA2-485F-A495-4FEFAF503214}"/>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799" xr:uid="{A99BE994-BD32-438C-A7EE-AA15C02F712D}"/>
    <cellStyle name="40% - Accent1 2 2 6 2 3" xfId="12584" xr:uid="{180ABCCB-D6EC-4D1B-AB18-1C8AA98CDB4A}"/>
    <cellStyle name="40% - Accent1 2 2 6 3" xfId="6207" xr:uid="{00000000-0005-0000-0000-0000E7030000}"/>
    <cellStyle name="40% - Accent1 2 2 6 3 2" xfId="14654" xr:uid="{D1DB135D-C70C-4643-8D43-0CADAD455EBC}"/>
    <cellStyle name="40% - Accent1 2 2 6 4" xfId="10439" xr:uid="{661EDFBB-7CA6-4FF4-BAEC-0D711C38081B}"/>
    <cellStyle name="40% - Accent1 2 2 7" xfId="2314" xr:uid="{00000000-0005-0000-0000-0000E8030000}"/>
    <cellStyle name="40% - Accent1 2 2 7 2" xfId="6620" xr:uid="{00000000-0005-0000-0000-0000E9030000}"/>
    <cellStyle name="40% - Accent1 2 2 7 2 2" xfId="15067" xr:uid="{68CF499B-4DDD-4791-9070-FAD2AD888762}"/>
    <cellStyle name="40% - Accent1 2 2 7 3" xfId="10852" xr:uid="{0A5AE4B6-9C30-417C-A1DD-F2939F38B4BF}"/>
    <cellStyle name="40% - Accent1 2 2 8" xfId="4554" xr:uid="{00000000-0005-0000-0000-0000EA030000}"/>
    <cellStyle name="40% - Accent1 2 2 8 2" xfId="13001" xr:uid="{BABF171F-0C45-43CC-ACEE-5042CB165F95}"/>
    <cellStyle name="40% - Accent1 2 2 9" xfId="8786" xr:uid="{96FF1952-6FF6-4F07-8C25-5513E3F76FC2}"/>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2" xr:uid="{F8595F62-F2F5-46E6-87BE-44B02BA32147}"/>
    <cellStyle name="40% - Accent1 2 3 2 2 3" xfId="11347" xr:uid="{7E7A8E3D-8295-46A9-B2E4-36AC75383561}"/>
    <cellStyle name="40% - Accent1 2 3 2 3" xfId="4970" xr:uid="{00000000-0005-0000-0000-0000EF030000}"/>
    <cellStyle name="40% - Accent1 2 3 2 3 2" xfId="13417" xr:uid="{D82FFD3B-FEA0-4213-8064-77449EA5DEBF}"/>
    <cellStyle name="40% - Accent1 2 3 2 4" xfId="9202" xr:uid="{71B4E315-A380-4560-B6D1-79391F22EA21}"/>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5" xr:uid="{6B11C1E1-60AF-4F2C-A58F-072913C4DD55}"/>
    <cellStyle name="40% - Accent1 2 3 3 2 3" xfId="11760" xr:uid="{383322B6-0F1B-45EF-9A1E-98C142994B9B}"/>
    <cellStyle name="40% - Accent1 2 3 3 3" xfId="5383" xr:uid="{00000000-0005-0000-0000-0000F3030000}"/>
    <cellStyle name="40% - Accent1 2 3 3 3 2" xfId="13830" xr:uid="{15338AC4-0D87-4BA2-BAB8-D8A8BFFB2713}"/>
    <cellStyle name="40% - Accent1 2 3 3 4" xfId="9615" xr:uid="{54A47BB8-8256-48DD-BB4D-80D883A31102}"/>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88" xr:uid="{F1D618C6-68D0-4CBB-9892-BAF17D51EC11}"/>
    <cellStyle name="40% - Accent1 2 3 4 2 3" xfId="12173" xr:uid="{5A39B8A1-2DD9-48C0-B612-063D575B4137}"/>
    <cellStyle name="40% - Accent1 2 3 4 3" xfId="5796" xr:uid="{00000000-0005-0000-0000-0000F7030000}"/>
    <cellStyle name="40% - Accent1 2 3 4 3 2" xfId="14243" xr:uid="{E4769393-1960-4AD0-A58D-AA5519E0E816}"/>
    <cellStyle name="40% - Accent1 2 3 4 4" xfId="10028" xr:uid="{77F37DB5-02C7-4959-B209-965AE50FEC3A}"/>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1" xr:uid="{950C76B9-C3BC-4101-8D16-9609B61683C7}"/>
    <cellStyle name="40% - Accent1 2 3 5 2 3" xfId="12586" xr:uid="{E41FC871-C160-4A2F-B153-9EAC0FBD36F0}"/>
    <cellStyle name="40% - Accent1 2 3 5 3" xfId="6209" xr:uid="{00000000-0005-0000-0000-0000FB030000}"/>
    <cellStyle name="40% - Accent1 2 3 5 3 2" xfId="14656" xr:uid="{232B8DEF-E213-4132-BCD4-49D1BCC5C8AF}"/>
    <cellStyle name="40% - Accent1 2 3 5 4" xfId="10441" xr:uid="{B125F1EF-6103-4D07-A9E4-48B5E79404A7}"/>
    <cellStyle name="40% - Accent1 2 3 6" xfId="2316" xr:uid="{00000000-0005-0000-0000-0000FC030000}"/>
    <cellStyle name="40% - Accent1 2 3 6 2" xfId="6622" xr:uid="{00000000-0005-0000-0000-0000FD030000}"/>
    <cellStyle name="40% - Accent1 2 3 6 2 2" xfId="15069" xr:uid="{0A6482F6-3E5B-4C82-BB01-6FD56A35D098}"/>
    <cellStyle name="40% - Accent1 2 3 6 3" xfId="10854" xr:uid="{A661C8E1-2E8C-4DA5-93AD-CD189B5B148D}"/>
    <cellStyle name="40% - Accent1 2 3 7" xfId="4556" xr:uid="{00000000-0005-0000-0000-0000FE030000}"/>
    <cellStyle name="40% - Accent1 2 3 7 2" xfId="13003" xr:uid="{1353DB0E-2A2B-44D0-A447-CB0FBB73986B}"/>
    <cellStyle name="40% - Accent1 2 3 8" xfId="8788" xr:uid="{2A4EF7F2-5AB2-4DEB-B51F-8035F71E8146}"/>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59" xr:uid="{A9CBE02C-6FF0-4D86-825D-2431ED59D57B}"/>
    <cellStyle name="40% - Accent1 2 4 2 3" xfId="11344" xr:uid="{54704EAD-D03A-4C59-9F12-4EED6E645C6F}"/>
    <cellStyle name="40% - Accent1 2 4 3" xfId="4967" xr:uid="{00000000-0005-0000-0000-000002040000}"/>
    <cellStyle name="40% - Accent1 2 4 3 2" xfId="13414" xr:uid="{9A33A501-7C99-4423-A0B6-24E8DE685542}"/>
    <cellStyle name="40% - Accent1 2 4 4" xfId="9199" xr:uid="{896B8D5E-C515-4262-BAAD-85ECE41D66AC}"/>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2" xr:uid="{AB759877-3EB2-4A07-BBED-EC5C191F5A2C}"/>
    <cellStyle name="40% - Accent1 2 5 2 3" xfId="11757" xr:uid="{29DFBFD1-5AE1-4F87-8A9F-AB9622E081AE}"/>
    <cellStyle name="40% - Accent1 2 5 3" xfId="5380" xr:uid="{00000000-0005-0000-0000-000006040000}"/>
    <cellStyle name="40% - Accent1 2 5 3 2" xfId="13827" xr:uid="{BC6C1215-1375-47A7-AB5D-C7D17B708686}"/>
    <cellStyle name="40% - Accent1 2 5 4" xfId="9612" xr:uid="{0BA8E6CC-4B57-4EB8-AD1B-48113D58FA0F}"/>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5" xr:uid="{010A29C7-A5AC-4A62-9B9B-3F39F2E5AD86}"/>
    <cellStyle name="40% - Accent1 2 6 2 3" xfId="12170" xr:uid="{2B93AC8F-5BE5-4FB4-9B47-932A7D48DBBB}"/>
    <cellStyle name="40% - Accent1 2 6 3" xfId="5793" xr:uid="{00000000-0005-0000-0000-00000A040000}"/>
    <cellStyle name="40% - Accent1 2 6 3 2" xfId="14240" xr:uid="{F29EB20F-2F04-4DF3-97D1-11D1DA120262}"/>
    <cellStyle name="40% - Accent1 2 6 4" xfId="10025" xr:uid="{000E14F2-7A37-4585-B244-FC063D5B98F6}"/>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798" xr:uid="{83B6D54E-BA5F-4809-B300-18625F94E7A4}"/>
    <cellStyle name="40% - Accent1 2 7 2 3" xfId="12583" xr:uid="{8B00CC37-EB67-4CFE-ACD3-0F300FB2F5E9}"/>
    <cellStyle name="40% - Accent1 2 7 3" xfId="6206" xr:uid="{00000000-0005-0000-0000-00000E040000}"/>
    <cellStyle name="40% - Accent1 2 7 3 2" xfId="14653" xr:uid="{7C3F9222-A3EE-498D-A7CC-3D07C478D52C}"/>
    <cellStyle name="40% - Accent1 2 7 4" xfId="10438" xr:uid="{34A87B1C-7852-4D54-A0A9-DDC744A70978}"/>
    <cellStyle name="40% - Accent1 2 8" xfId="2313" xr:uid="{00000000-0005-0000-0000-00000F040000}"/>
    <cellStyle name="40% - Accent1 2 8 2" xfId="6619" xr:uid="{00000000-0005-0000-0000-000010040000}"/>
    <cellStyle name="40% - Accent1 2 8 2 2" xfId="15066" xr:uid="{BD5650A3-81D2-4753-AE2F-46EEB241F96D}"/>
    <cellStyle name="40% - Accent1 2 8 3" xfId="10851" xr:uid="{42A1F4C1-E72A-4CF3-B58B-AF5538705C83}"/>
    <cellStyle name="40% - Accent1 2 9" xfId="4553" xr:uid="{00000000-0005-0000-0000-000011040000}"/>
    <cellStyle name="40% - Accent1 2 9 2" xfId="13000" xr:uid="{B49E74D4-9962-41A0-BF62-202B3165B936}"/>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4" xr:uid="{5765814E-905E-4274-AE57-3E136F158671}"/>
    <cellStyle name="40% - Accent1 3 2 2 2 3" xfId="11349" xr:uid="{AE3A0C83-3257-488E-AD56-089D6467633B}"/>
    <cellStyle name="40% - Accent1 3 2 2 3" xfId="4972" xr:uid="{00000000-0005-0000-0000-000017040000}"/>
    <cellStyle name="40% - Accent1 3 2 2 3 2" xfId="13419" xr:uid="{3C764FEF-2D5E-4A2D-9F75-9692DF7EAF56}"/>
    <cellStyle name="40% - Accent1 3 2 2 4" xfId="9204" xr:uid="{A120E72D-BC8E-4540-954C-E305290D8FB9}"/>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77" xr:uid="{69511713-5646-4328-AA48-5FBA555B6AFE}"/>
    <cellStyle name="40% - Accent1 3 2 3 2 3" xfId="11762" xr:uid="{DD7525A2-B426-48D2-AA34-62AF96FFC30B}"/>
    <cellStyle name="40% - Accent1 3 2 3 3" xfId="5385" xr:uid="{00000000-0005-0000-0000-00001B040000}"/>
    <cellStyle name="40% - Accent1 3 2 3 3 2" xfId="13832" xr:uid="{6B0E85BB-E977-4240-9EAC-B5FADD994239}"/>
    <cellStyle name="40% - Accent1 3 2 3 4" xfId="9617" xr:uid="{6298EE2C-3059-4E96-947E-72D6F83F5619}"/>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0" xr:uid="{51EFF5BA-1CCD-487E-AB39-9B437015062C}"/>
    <cellStyle name="40% - Accent1 3 2 4 2 3" xfId="12175" xr:uid="{16560FD7-E9DB-4386-8BB0-C5483640FA13}"/>
    <cellStyle name="40% - Accent1 3 2 4 3" xfId="5798" xr:uid="{00000000-0005-0000-0000-00001F040000}"/>
    <cellStyle name="40% - Accent1 3 2 4 3 2" xfId="14245" xr:uid="{10F07CD2-42CD-4E27-897B-822593E4F1E1}"/>
    <cellStyle name="40% - Accent1 3 2 4 4" xfId="10030" xr:uid="{E6F3F070-AF36-4E3C-BB0C-06540E0B3D6E}"/>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3" xr:uid="{FEA3A6D5-A67A-4169-8564-48B341BB0E58}"/>
    <cellStyle name="40% - Accent1 3 2 5 2 3" xfId="12588" xr:uid="{43C92062-3170-416B-B729-07F02E59CC56}"/>
    <cellStyle name="40% - Accent1 3 2 5 3" xfId="6211" xr:uid="{00000000-0005-0000-0000-000023040000}"/>
    <cellStyle name="40% - Accent1 3 2 5 3 2" xfId="14658" xr:uid="{77BE8FEC-29D0-4526-919B-5297EC2384DC}"/>
    <cellStyle name="40% - Accent1 3 2 5 4" xfId="10443" xr:uid="{50949A51-7F21-46AF-B220-16321161A2FE}"/>
    <cellStyle name="40% - Accent1 3 2 6" xfId="2318" xr:uid="{00000000-0005-0000-0000-000024040000}"/>
    <cellStyle name="40% - Accent1 3 2 6 2" xfId="6624" xr:uid="{00000000-0005-0000-0000-000025040000}"/>
    <cellStyle name="40% - Accent1 3 2 6 2 2" xfId="15071" xr:uid="{78F65916-9467-45DA-94BC-2735D225731B}"/>
    <cellStyle name="40% - Accent1 3 2 6 3" xfId="10856" xr:uid="{4CCA732C-FD39-4458-A8C3-AC6B61581F37}"/>
    <cellStyle name="40% - Accent1 3 2 7" xfId="4558" xr:uid="{00000000-0005-0000-0000-000026040000}"/>
    <cellStyle name="40% - Accent1 3 2 7 2" xfId="13005" xr:uid="{7C80AB65-5035-45BA-948B-3D75A09A1AAB}"/>
    <cellStyle name="40% - Accent1 3 2 8" xfId="8790" xr:uid="{82EEC810-17B2-4575-AD99-F3596CB54EA6}"/>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3" xr:uid="{CF991D52-FB60-4A9D-8A8E-45BF5CE2CFD0}"/>
    <cellStyle name="40% - Accent1 3 3 2 3" xfId="11348" xr:uid="{F84F8AE5-C83B-4C1A-A15A-6BFAC9EA1478}"/>
    <cellStyle name="40% - Accent1 3 3 3" xfId="4971" xr:uid="{00000000-0005-0000-0000-00002A040000}"/>
    <cellStyle name="40% - Accent1 3 3 3 2" xfId="13418" xr:uid="{5E394727-21AC-4F5D-9730-192D4D6085AA}"/>
    <cellStyle name="40% - Accent1 3 3 4" xfId="9203" xr:uid="{725CC330-384D-4AEC-8360-4574511B174A}"/>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6" xr:uid="{CA69BE38-9935-4E92-8D39-CB0FE30455CA}"/>
    <cellStyle name="40% - Accent1 3 4 2 3" xfId="11761" xr:uid="{932A3C32-425D-45DE-B947-45A49EA7A728}"/>
    <cellStyle name="40% - Accent1 3 4 3" xfId="5384" xr:uid="{00000000-0005-0000-0000-00002E040000}"/>
    <cellStyle name="40% - Accent1 3 4 3 2" xfId="13831" xr:uid="{23B8BC54-6E68-445E-B04A-AEB03567FAD1}"/>
    <cellStyle name="40% - Accent1 3 4 4" xfId="9616" xr:uid="{40CF72FA-4FED-4FFB-BA21-582317CFF445}"/>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89" xr:uid="{F4FCF08C-C1DE-41D7-99F1-BDAC44B646B8}"/>
    <cellStyle name="40% - Accent1 3 5 2 3" xfId="12174" xr:uid="{C77EFDFA-B662-4E3E-868A-9D41518FFBF9}"/>
    <cellStyle name="40% - Accent1 3 5 3" xfId="5797" xr:uid="{00000000-0005-0000-0000-000032040000}"/>
    <cellStyle name="40% - Accent1 3 5 3 2" xfId="14244" xr:uid="{80561946-A98F-4980-A8A7-A335EC1EF3BB}"/>
    <cellStyle name="40% - Accent1 3 5 4" xfId="10029" xr:uid="{22A853B9-3A42-4ED8-901D-FDA201ED812E}"/>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2" xr:uid="{7210CBA9-DE56-4B2D-9FD6-1158D5D0DA79}"/>
    <cellStyle name="40% - Accent1 3 6 2 3" xfId="12587" xr:uid="{00BCDC29-BDF5-439F-8749-5DBBE2421A57}"/>
    <cellStyle name="40% - Accent1 3 6 3" xfId="6210" xr:uid="{00000000-0005-0000-0000-000036040000}"/>
    <cellStyle name="40% - Accent1 3 6 3 2" xfId="14657" xr:uid="{E23AD137-9B9C-4692-A991-4E40D110D8DE}"/>
    <cellStyle name="40% - Accent1 3 6 4" xfId="10442" xr:uid="{975F5886-C0A6-4C6F-9DA6-A87062B8BCEE}"/>
    <cellStyle name="40% - Accent1 3 7" xfId="2317" xr:uid="{00000000-0005-0000-0000-000037040000}"/>
    <cellStyle name="40% - Accent1 3 7 2" xfId="6623" xr:uid="{00000000-0005-0000-0000-000038040000}"/>
    <cellStyle name="40% - Accent1 3 7 2 2" xfId="15070" xr:uid="{DE00A74C-5EF6-47F9-AF91-399B5693DF60}"/>
    <cellStyle name="40% - Accent1 3 7 3" xfId="10855" xr:uid="{B30E5B87-C92C-435B-A99E-A0FF3EF80C48}"/>
    <cellStyle name="40% - Accent1 3 8" xfId="4557" xr:uid="{00000000-0005-0000-0000-000039040000}"/>
    <cellStyle name="40% - Accent1 3 8 2" xfId="13004" xr:uid="{4290607F-32D8-4522-858F-CDC7C2DEBD52}"/>
    <cellStyle name="40% - Accent1 3 9" xfId="8789" xr:uid="{6606D581-BAAC-4C15-BF42-D3D6A2DE1589}"/>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5" xr:uid="{D4A0067E-3B2C-4474-8112-A7819263EC4E}"/>
    <cellStyle name="40% - Accent1 4 2 2 3" xfId="11350" xr:uid="{1A327BCF-1960-4F23-B712-EC050832F939}"/>
    <cellStyle name="40% - Accent1 4 2 3" xfId="4973" xr:uid="{00000000-0005-0000-0000-00003E040000}"/>
    <cellStyle name="40% - Accent1 4 2 3 2" xfId="13420" xr:uid="{C059C67C-83FD-49D1-A414-E5BE74A8AEB0}"/>
    <cellStyle name="40% - Accent1 4 2 4" xfId="9205" xr:uid="{8C4BB839-CE0E-4DA5-9DE7-009B416D3503}"/>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78" xr:uid="{42FA3E3B-3D7B-4446-9AEE-4A376AAF0CAF}"/>
    <cellStyle name="40% - Accent1 4 3 2 3" xfId="11763" xr:uid="{39E0F600-6047-4313-A1FD-A4812CBCED93}"/>
    <cellStyle name="40% - Accent1 4 3 3" xfId="5386" xr:uid="{00000000-0005-0000-0000-000042040000}"/>
    <cellStyle name="40% - Accent1 4 3 3 2" xfId="13833" xr:uid="{A104FDEF-9398-4504-9719-547B4ED8BF57}"/>
    <cellStyle name="40% - Accent1 4 3 4" xfId="9618" xr:uid="{168D46CA-2D7E-4924-8CE7-9FC309AAE6B0}"/>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1" xr:uid="{69F5F548-8966-40CC-8F48-D04E9B75C1BF}"/>
    <cellStyle name="40% - Accent1 4 4 2 3" xfId="12176" xr:uid="{D2BD95C5-00C9-4F6E-BBC4-7D4B92602F09}"/>
    <cellStyle name="40% - Accent1 4 4 3" xfId="5799" xr:uid="{00000000-0005-0000-0000-000046040000}"/>
    <cellStyle name="40% - Accent1 4 4 3 2" xfId="14246" xr:uid="{A96347E5-72E4-438E-A093-4FA18AAF60A6}"/>
    <cellStyle name="40% - Accent1 4 4 4" xfId="10031" xr:uid="{9E6E4701-B73B-4208-BEF3-BA7D45E5C7AD}"/>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4" xr:uid="{6AFA59B2-E4CF-43D7-AF6B-9522CC4F8C72}"/>
    <cellStyle name="40% - Accent1 4 5 2 3" xfId="12589" xr:uid="{76717103-8D91-476B-9C2E-CDB07A28BB9C}"/>
    <cellStyle name="40% - Accent1 4 5 3" xfId="6212" xr:uid="{00000000-0005-0000-0000-00004A040000}"/>
    <cellStyle name="40% - Accent1 4 5 3 2" xfId="14659" xr:uid="{238721F1-522D-4113-8A81-5EEAD0572C5D}"/>
    <cellStyle name="40% - Accent1 4 5 4" xfId="10444" xr:uid="{962C915D-5135-47C4-BFCF-B2C3C1B2E6F4}"/>
    <cellStyle name="40% - Accent1 4 6" xfId="2319" xr:uid="{00000000-0005-0000-0000-00004B040000}"/>
    <cellStyle name="40% - Accent1 4 6 2" xfId="6625" xr:uid="{00000000-0005-0000-0000-00004C040000}"/>
    <cellStyle name="40% - Accent1 4 6 2 2" xfId="15072" xr:uid="{21D05A67-9479-44EF-AD7C-CF24A76DB0D8}"/>
    <cellStyle name="40% - Accent1 4 6 3" xfId="10857" xr:uid="{6DA668A5-FD4F-4C21-845A-C58EDBC96005}"/>
    <cellStyle name="40% - Accent1 4 7" xfId="4559" xr:uid="{00000000-0005-0000-0000-00004D040000}"/>
    <cellStyle name="40% - Accent1 4 7 2" xfId="13006" xr:uid="{3A628DCC-C86A-4B51-A471-3D8614D7ECB5}"/>
    <cellStyle name="40% - Accent1 4 8" xfId="8791" xr:uid="{D31CE1D0-6732-498B-B07A-C5BDEB1D0117}"/>
    <cellStyle name="40% - Accent1 5" xfId="618" xr:uid="{00000000-0005-0000-0000-00004E040000}"/>
    <cellStyle name="40% - Accent1 5 2" xfId="2889" xr:uid="{00000000-0005-0000-0000-00004F040000}"/>
    <cellStyle name="40% - Accent1 5 2 2" xfId="7111" xr:uid="{00000000-0005-0000-0000-000050040000}"/>
    <cellStyle name="40% - Accent1 5 2 2 2" xfId="15558" xr:uid="{A7D7BE05-D5D6-408B-B9B4-2B9BC99AC9A8}"/>
    <cellStyle name="40% - Accent1 5 2 3" xfId="11343" xr:uid="{B29E5408-02CB-435C-A509-2E41306EDA71}"/>
    <cellStyle name="40% - Accent1 5 3" xfId="4966" xr:uid="{00000000-0005-0000-0000-000051040000}"/>
    <cellStyle name="40% - Accent1 5 3 2" xfId="13413" xr:uid="{638030EF-42B3-45E4-85AD-3585E4C7E051}"/>
    <cellStyle name="40% - Accent1 5 4" xfId="9198" xr:uid="{1D2BDAF1-04B2-4D56-8E33-4705052C38A0}"/>
    <cellStyle name="40% - Accent1 6" xfId="1071" xr:uid="{00000000-0005-0000-0000-000052040000}"/>
    <cellStyle name="40% - Accent1 6 2" xfId="3302" xr:uid="{00000000-0005-0000-0000-000053040000}"/>
    <cellStyle name="40% - Accent1 6 2 2" xfId="7524" xr:uid="{00000000-0005-0000-0000-000054040000}"/>
    <cellStyle name="40% - Accent1 6 2 2 2" xfId="15971" xr:uid="{26CBC466-98DB-4BBC-A0CD-2144C43DFAE5}"/>
    <cellStyle name="40% - Accent1 6 2 3" xfId="11756" xr:uid="{B0B69B7E-2712-428C-9D10-940D1CE4C07A}"/>
    <cellStyle name="40% - Accent1 6 3" xfId="5379" xr:uid="{00000000-0005-0000-0000-000055040000}"/>
    <cellStyle name="40% - Accent1 6 3 2" xfId="13826" xr:uid="{06E381CB-1E46-4DCE-897C-028B881D78B6}"/>
    <cellStyle name="40% - Accent1 6 4" xfId="9611" xr:uid="{05C8E388-9182-4D93-88BC-7BED7EB52FC6}"/>
    <cellStyle name="40% - Accent1 7" xfId="1485" xr:uid="{00000000-0005-0000-0000-000056040000}"/>
    <cellStyle name="40% - Accent1 7 2" xfId="3715" xr:uid="{00000000-0005-0000-0000-000057040000}"/>
    <cellStyle name="40% - Accent1 7 2 2" xfId="7937" xr:uid="{00000000-0005-0000-0000-000058040000}"/>
    <cellStyle name="40% - Accent1 7 2 2 2" xfId="16384" xr:uid="{2024DD5D-684B-4447-BFF4-BE8B85EE028A}"/>
    <cellStyle name="40% - Accent1 7 2 3" xfId="12169" xr:uid="{F27CD4C2-2EBB-42FE-A17C-37558685F7A5}"/>
    <cellStyle name="40% - Accent1 7 3" xfId="5792" xr:uid="{00000000-0005-0000-0000-000059040000}"/>
    <cellStyle name="40% - Accent1 7 3 2" xfId="14239" xr:uid="{F34B69A7-9EC9-4043-A7E4-CE32616B1917}"/>
    <cellStyle name="40% - Accent1 7 4" xfId="10024" xr:uid="{D6FE4DBA-626B-4941-93DA-85DA62483B46}"/>
    <cellStyle name="40% - Accent1 8" xfId="1899" xr:uid="{00000000-0005-0000-0000-00005A040000}"/>
    <cellStyle name="40% - Accent1 8 2" xfId="4128" xr:uid="{00000000-0005-0000-0000-00005B040000}"/>
    <cellStyle name="40% - Accent1 8 2 2" xfId="8350" xr:uid="{00000000-0005-0000-0000-00005C040000}"/>
    <cellStyle name="40% - Accent1 8 2 2 2" xfId="16797" xr:uid="{2104908A-39AF-4DF1-9BE9-B89CA3265536}"/>
    <cellStyle name="40% - Accent1 8 2 3" xfId="12582" xr:uid="{8863E47F-101A-4253-AB4B-E02A34C4C391}"/>
    <cellStyle name="40% - Accent1 8 3" xfId="6205" xr:uid="{00000000-0005-0000-0000-00005D040000}"/>
    <cellStyle name="40% - Accent1 8 3 2" xfId="14652" xr:uid="{B0B5B32E-C212-4FAE-A3EA-2AF42A2654AF}"/>
    <cellStyle name="40% - Accent1 8 4" xfId="10437" xr:uid="{74220690-8F86-43AB-B570-9379E836A432}"/>
    <cellStyle name="40% - Accent1 9" xfId="2312" xr:uid="{00000000-0005-0000-0000-00005E040000}"/>
    <cellStyle name="40% - Accent1 9 2" xfId="6618" xr:uid="{00000000-0005-0000-0000-00005F040000}"/>
    <cellStyle name="40% - Accent1 9 2 2" xfId="15065" xr:uid="{DB4FE69B-06A5-44A9-94E0-5FDB58D7F08B}"/>
    <cellStyle name="40% - Accent1 9 3" xfId="10850" xr:uid="{05925FCA-2E9C-4997-89F5-88289B16AD21}"/>
    <cellStyle name="40% - Accent2" xfId="57" builtinId="35" customBuiltin="1"/>
    <cellStyle name="40% - Accent2 10" xfId="4560" xr:uid="{00000000-0005-0000-0000-000061040000}"/>
    <cellStyle name="40% - Accent2 10 2" xfId="13007" xr:uid="{EDCF117E-A746-4A82-9A9F-7725BEA9E576}"/>
    <cellStyle name="40% - Accent2 11" xfId="8792" xr:uid="{9E58CF8B-15E7-4E6E-B6CC-EA358A5203AB}"/>
    <cellStyle name="40% - Accent2 2" xfId="58" xr:uid="{00000000-0005-0000-0000-000062040000}"/>
    <cellStyle name="40% - Accent2 2 10" xfId="8793" xr:uid="{E29BB7B0-BDC9-4169-B041-6A7226E656A4}"/>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69" xr:uid="{B2ACEA49-3A8B-4EF2-8184-4B66D1AE5BFE}"/>
    <cellStyle name="40% - Accent2 2 2 2 2 2 3" xfId="11354" xr:uid="{40B03D20-F983-4354-BACE-C3347901BB6A}"/>
    <cellStyle name="40% - Accent2 2 2 2 2 3" xfId="4977" xr:uid="{00000000-0005-0000-0000-000068040000}"/>
    <cellStyle name="40% - Accent2 2 2 2 2 3 2" xfId="13424" xr:uid="{70D398E7-4208-42FC-821C-9A770062F9E5}"/>
    <cellStyle name="40% - Accent2 2 2 2 2 4" xfId="9209" xr:uid="{CE1FC38C-4BE2-45C7-846B-49EAD75D5364}"/>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2" xr:uid="{5CE63D6A-3D79-483D-B0EC-4990A1BECC2E}"/>
    <cellStyle name="40% - Accent2 2 2 2 3 2 3" xfId="11767" xr:uid="{C6F5407B-0EAA-40C6-9340-E7CFDD16B8D1}"/>
    <cellStyle name="40% - Accent2 2 2 2 3 3" xfId="5390" xr:uid="{00000000-0005-0000-0000-00006C040000}"/>
    <cellStyle name="40% - Accent2 2 2 2 3 3 2" xfId="13837" xr:uid="{38236276-8785-42AE-B449-92B9FFBECD77}"/>
    <cellStyle name="40% - Accent2 2 2 2 3 4" xfId="9622" xr:uid="{66B421ED-983B-458B-A764-5AA3E37102CA}"/>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5" xr:uid="{E30843C0-4CFF-4FD2-A86A-E604C7B5A66F}"/>
    <cellStyle name="40% - Accent2 2 2 2 4 2 3" xfId="12180" xr:uid="{B198A17D-B79E-4486-AEEA-075FA26BC8C7}"/>
    <cellStyle name="40% - Accent2 2 2 2 4 3" xfId="5803" xr:uid="{00000000-0005-0000-0000-000070040000}"/>
    <cellStyle name="40% - Accent2 2 2 2 4 3 2" xfId="14250" xr:uid="{4263A3BA-7DC6-47B8-8A4F-A73E818365B3}"/>
    <cellStyle name="40% - Accent2 2 2 2 4 4" xfId="10035" xr:uid="{4381DECA-F08B-4FD6-A5DB-C85E37A06764}"/>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08" xr:uid="{A146F96A-459F-4E6C-869F-2B5F2E35759A}"/>
    <cellStyle name="40% - Accent2 2 2 2 5 2 3" xfId="12593" xr:uid="{F84A1061-C970-407A-B676-F2C35A92B593}"/>
    <cellStyle name="40% - Accent2 2 2 2 5 3" xfId="6216" xr:uid="{00000000-0005-0000-0000-000074040000}"/>
    <cellStyle name="40% - Accent2 2 2 2 5 3 2" xfId="14663" xr:uid="{B8CABCF9-7D29-4F8B-ABBD-E35C9B69532C}"/>
    <cellStyle name="40% - Accent2 2 2 2 5 4" xfId="10448" xr:uid="{CAF1A67A-D845-4A16-AA2A-E780176509F7}"/>
    <cellStyle name="40% - Accent2 2 2 2 6" xfId="2323" xr:uid="{00000000-0005-0000-0000-000075040000}"/>
    <cellStyle name="40% - Accent2 2 2 2 6 2" xfId="6629" xr:uid="{00000000-0005-0000-0000-000076040000}"/>
    <cellStyle name="40% - Accent2 2 2 2 6 2 2" xfId="15076" xr:uid="{E9AE7482-87B6-4924-8E33-0823EED37988}"/>
    <cellStyle name="40% - Accent2 2 2 2 6 3" xfId="10861" xr:uid="{27EF265B-3649-4693-958A-3B408D0C2F46}"/>
    <cellStyle name="40% - Accent2 2 2 2 7" xfId="4563" xr:uid="{00000000-0005-0000-0000-000077040000}"/>
    <cellStyle name="40% - Accent2 2 2 2 7 2" xfId="13010" xr:uid="{D8F4F8AB-832C-43AB-838B-BD25728E1A21}"/>
    <cellStyle name="40% - Accent2 2 2 2 8" xfId="8795" xr:uid="{7F661F29-76DD-468F-B3DE-AA57B09C728C}"/>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68" xr:uid="{6B5D8D23-57F5-4821-9C37-88A53A3D681C}"/>
    <cellStyle name="40% - Accent2 2 2 3 2 3" xfId="11353" xr:uid="{86575CC1-42EE-4A75-913C-140590240E98}"/>
    <cellStyle name="40% - Accent2 2 2 3 3" xfId="4976" xr:uid="{00000000-0005-0000-0000-00007B040000}"/>
    <cellStyle name="40% - Accent2 2 2 3 3 2" xfId="13423" xr:uid="{00DDCFA4-6314-4007-8CDD-0C27AB0D3DC2}"/>
    <cellStyle name="40% - Accent2 2 2 3 4" xfId="9208" xr:uid="{BACBFC9B-387A-4B67-BA4A-D01B2ABEC179}"/>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1" xr:uid="{C55F2112-604A-4BC6-A15A-A0E1DF48644D}"/>
    <cellStyle name="40% - Accent2 2 2 4 2 3" xfId="11766" xr:uid="{587A0564-D347-4681-8EAB-5B3D02281639}"/>
    <cellStyle name="40% - Accent2 2 2 4 3" xfId="5389" xr:uid="{00000000-0005-0000-0000-00007F040000}"/>
    <cellStyle name="40% - Accent2 2 2 4 3 2" xfId="13836" xr:uid="{0A5283C3-6B83-48C1-9948-1A9E8ACA0FC1}"/>
    <cellStyle name="40% - Accent2 2 2 4 4" xfId="9621" xr:uid="{06FDD3BD-4D70-44F7-AF27-C4727CBFFFDE}"/>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4" xr:uid="{96EFD6F1-D800-40CD-A7F4-1D9540A55B5E}"/>
    <cellStyle name="40% - Accent2 2 2 5 2 3" xfId="12179" xr:uid="{4F624F54-8201-4CAB-97FA-A678C76F8B59}"/>
    <cellStyle name="40% - Accent2 2 2 5 3" xfId="5802" xr:uid="{00000000-0005-0000-0000-000083040000}"/>
    <cellStyle name="40% - Accent2 2 2 5 3 2" xfId="14249" xr:uid="{3C683272-B785-4FDF-AA53-7CD96C8E36A1}"/>
    <cellStyle name="40% - Accent2 2 2 5 4" xfId="10034" xr:uid="{BAC147DC-B713-4D2C-87E0-2FCC2D5C4A6E}"/>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07" xr:uid="{8424DC3F-9803-4476-804D-40B79A1C7AFA}"/>
    <cellStyle name="40% - Accent2 2 2 6 2 3" xfId="12592" xr:uid="{07313827-638B-4A85-9917-E0121890FDDA}"/>
    <cellStyle name="40% - Accent2 2 2 6 3" xfId="6215" xr:uid="{00000000-0005-0000-0000-000087040000}"/>
    <cellStyle name="40% - Accent2 2 2 6 3 2" xfId="14662" xr:uid="{0E230DE4-3721-4B9C-AC4D-BE705334FCB8}"/>
    <cellStyle name="40% - Accent2 2 2 6 4" xfId="10447" xr:uid="{084C81BD-2397-4B21-94D9-DEA2505EB8E7}"/>
    <cellStyle name="40% - Accent2 2 2 7" xfId="2322" xr:uid="{00000000-0005-0000-0000-000088040000}"/>
    <cellStyle name="40% - Accent2 2 2 7 2" xfId="6628" xr:uid="{00000000-0005-0000-0000-000089040000}"/>
    <cellStyle name="40% - Accent2 2 2 7 2 2" xfId="15075" xr:uid="{36F49E67-F1E7-436B-BE3A-1940CFEBF940}"/>
    <cellStyle name="40% - Accent2 2 2 7 3" xfId="10860" xr:uid="{16FCF28B-8125-49DB-8C1F-E3F69F9706A5}"/>
    <cellStyle name="40% - Accent2 2 2 8" xfId="4562" xr:uid="{00000000-0005-0000-0000-00008A040000}"/>
    <cellStyle name="40% - Accent2 2 2 8 2" xfId="13009" xr:uid="{1057BF8F-AC92-4003-8FCF-E6BFA9416F95}"/>
    <cellStyle name="40% - Accent2 2 2 9" xfId="8794" xr:uid="{AE102FD8-8279-4F18-8FF7-F4883CB3382B}"/>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0" xr:uid="{E4447B12-FAA7-41E7-B7C7-DEBF6731A2E2}"/>
    <cellStyle name="40% - Accent2 2 3 2 2 3" xfId="11355" xr:uid="{D47FCA14-AE76-46B7-B69D-6FF4411CFB98}"/>
    <cellStyle name="40% - Accent2 2 3 2 3" xfId="4978" xr:uid="{00000000-0005-0000-0000-00008F040000}"/>
    <cellStyle name="40% - Accent2 2 3 2 3 2" xfId="13425" xr:uid="{83BE7153-47F7-4607-8A86-2904F11E182B}"/>
    <cellStyle name="40% - Accent2 2 3 2 4" xfId="9210" xr:uid="{C45E9B7F-0051-4D54-82BD-D7F4CB388704}"/>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3" xr:uid="{21D539C7-613C-4F26-A3E5-873467301084}"/>
    <cellStyle name="40% - Accent2 2 3 3 2 3" xfId="11768" xr:uid="{670182FA-8538-4855-B67B-DDA852EB1A3A}"/>
    <cellStyle name="40% - Accent2 2 3 3 3" xfId="5391" xr:uid="{00000000-0005-0000-0000-000093040000}"/>
    <cellStyle name="40% - Accent2 2 3 3 3 2" xfId="13838" xr:uid="{583565A6-EADF-4E34-9F79-67BD446F38D5}"/>
    <cellStyle name="40% - Accent2 2 3 3 4" xfId="9623" xr:uid="{ABB14FD2-C2B0-416B-BB76-72F2B1E6408A}"/>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6" xr:uid="{A01E5024-1C95-4190-9062-7F489A1D6F45}"/>
    <cellStyle name="40% - Accent2 2 3 4 2 3" xfId="12181" xr:uid="{4D645060-F538-4269-B4C6-A988F10EAB5F}"/>
    <cellStyle name="40% - Accent2 2 3 4 3" xfId="5804" xr:uid="{00000000-0005-0000-0000-000097040000}"/>
    <cellStyle name="40% - Accent2 2 3 4 3 2" xfId="14251" xr:uid="{3ECDE48B-F19B-4768-934F-0E1DA39347ED}"/>
    <cellStyle name="40% - Accent2 2 3 4 4" xfId="10036" xr:uid="{36683DBD-81B3-4643-894F-0AAA1ADBEE64}"/>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09" xr:uid="{098CA6D7-3264-4A38-821E-FB0B601BF9BF}"/>
    <cellStyle name="40% - Accent2 2 3 5 2 3" xfId="12594" xr:uid="{8E028174-8E86-4249-957B-242E6152B0F3}"/>
    <cellStyle name="40% - Accent2 2 3 5 3" xfId="6217" xr:uid="{00000000-0005-0000-0000-00009B040000}"/>
    <cellStyle name="40% - Accent2 2 3 5 3 2" xfId="14664" xr:uid="{B112D549-1A07-4D09-BDD3-BBC4FC670BC9}"/>
    <cellStyle name="40% - Accent2 2 3 5 4" xfId="10449" xr:uid="{8F3A7E4F-2A82-4D28-9627-226CB3FAB765}"/>
    <cellStyle name="40% - Accent2 2 3 6" xfId="2324" xr:uid="{00000000-0005-0000-0000-00009C040000}"/>
    <cellStyle name="40% - Accent2 2 3 6 2" xfId="6630" xr:uid="{00000000-0005-0000-0000-00009D040000}"/>
    <cellStyle name="40% - Accent2 2 3 6 2 2" xfId="15077" xr:uid="{263051E1-878A-4839-813B-C704C4D0D470}"/>
    <cellStyle name="40% - Accent2 2 3 6 3" xfId="10862" xr:uid="{7DA29169-77A1-48E0-B021-B8814EECF5B2}"/>
    <cellStyle name="40% - Accent2 2 3 7" xfId="4564" xr:uid="{00000000-0005-0000-0000-00009E040000}"/>
    <cellStyle name="40% - Accent2 2 3 7 2" xfId="13011" xr:uid="{822F158C-F544-4FEA-AD7D-9155F90CD70A}"/>
    <cellStyle name="40% - Accent2 2 3 8" xfId="8796" xr:uid="{481EB6CB-D029-4F96-85E5-334F7E124E50}"/>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67" xr:uid="{CDE64E82-87C5-48AD-9CB1-A3921DA157A4}"/>
    <cellStyle name="40% - Accent2 2 4 2 3" xfId="11352" xr:uid="{10A5C0F7-9999-451A-B945-8BC92CFBEDEE}"/>
    <cellStyle name="40% - Accent2 2 4 3" xfId="4975" xr:uid="{00000000-0005-0000-0000-0000A2040000}"/>
    <cellStyle name="40% - Accent2 2 4 3 2" xfId="13422" xr:uid="{1C330568-3A3B-4762-8DCA-0A6DA4E9B446}"/>
    <cellStyle name="40% - Accent2 2 4 4" xfId="9207" xr:uid="{C7618761-1EC8-4B2B-8318-2F6CF52570D8}"/>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0" xr:uid="{87D056B8-D3F9-4041-AC59-AC383C0FB191}"/>
    <cellStyle name="40% - Accent2 2 5 2 3" xfId="11765" xr:uid="{C0B6E2F8-EF48-4BBE-B540-7618BF7013F2}"/>
    <cellStyle name="40% - Accent2 2 5 3" xfId="5388" xr:uid="{00000000-0005-0000-0000-0000A6040000}"/>
    <cellStyle name="40% - Accent2 2 5 3 2" xfId="13835" xr:uid="{ED09E334-ACA0-4111-BAEA-3B048E61088B}"/>
    <cellStyle name="40% - Accent2 2 5 4" xfId="9620" xr:uid="{6CE3A413-E3DF-434B-9AA7-6E4111010A40}"/>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3" xr:uid="{9A5D30A9-AB92-4B91-A101-0CD6D4490798}"/>
    <cellStyle name="40% - Accent2 2 6 2 3" xfId="12178" xr:uid="{FFEC2108-BE12-4F7C-869B-5A0F177BCECB}"/>
    <cellStyle name="40% - Accent2 2 6 3" xfId="5801" xr:uid="{00000000-0005-0000-0000-0000AA040000}"/>
    <cellStyle name="40% - Accent2 2 6 3 2" xfId="14248" xr:uid="{362C9D67-BD39-4D30-9DC0-7E32CC8E06D4}"/>
    <cellStyle name="40% - Accent2 2 6 4" xfId="10033" xr:uid="{DE620DFA-572B-4F3B-8793-4CC7AEF4070E}"/>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6" xr:uid="{57EEF970-868A-4140-BF4E-F6CBC3D13419}"/>
    <cellStyle name="40% - Accent2 2 7 2 3" xfId="12591" xr:uid="{6C857619-8AE3-4958-B0E4-F964D5087500}"/>
    <cellStyle name="40% - Accent2 2 7 3" xfId="6214" xr:uid="{00000000-0005-0000-0000-0000AE040000}"/>
    <cellStyle name="40% - Accent2 2 7 3 2" xfId="14661" xr:uid="{FB76A5D5-05F4-4490-BF66-1A9379A554C1}"/>
    <cellStyle name="40% - Accent2 2 7 4" xfId="10446" xr:uid="{C7A85FC7-DBB5-45B4-AFCB-A39B9C12F197}"/>
    <cellStyle name="40% - Accent2 2 8" xfId="2321" xr:uid="{00000000-0005-0000-0000-0000AF040000}"/>
    <cellStyle name="40% - Accent2 2 8 2" xfId="6627" xr:uid="{00000000-0005-0000-0000-0000B0040000}"/>
    <cellStyle name="40% - Accent2 2 8 2 2" xfId="15074" xr:uid="{5F319BD9-8353-4639-8A1E-140F6E0D0F6F}"/>
    <cellStyle name="40% - Accent2 2 8 3" xfId="10859" xr:uid="{2C2A2CB6-3E89-46B7-8E85-803EC246E0D2}"/>
    <cellStyle name="40% - Accent2 2 9" xfId="4561" xr:uid="{00000000-0005-0000-0000-0000B1040000}"/>
    <cellStyle name="40% - Accent2 2 9 2" xfId="13008" xr:uid="{07168863-4F8F-44D5-BE45-3EF69AF3061E}"/>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2" xr:uid="{7505B302-AE91-4982-BB70-BCE1F2D25C37}"/>
    <cellStyle name="40% - Accent2 3 2 2 2 3" xfId="11357" xr:uid="{1ED55FB2-B4C5-4767-95E1-932697D8FDB8}"/>
    <cellStyle name="40% - Accent2 3 2 2 3" xfId="4980" xr:uid="{00000000-0005-0000-0000-0000B7040000}"/>
    <cellStyle name="40% - Accent2 3 2 2 3 2" xfId="13427" xr:uid="{BDFB5D65-2CEE-4D05-920F-56D8FD928E5A}"/>
    <cellStyle name="40% - Accent2 3 2 2 4" xfId="9212" xr:uid="{2D279A19-0AAC-4011-B301-27794B6999E2}"/>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5" xr:uid="{CAA83B56-8EEC-4B78-ADD7-283DB4C3125B}"/>
    <cellStyle name="40% - Accent2 3 2 3 2 3" xfId="11770" xr:uid="{50D49B9B-9ECC-445E-A43C-15D8E9139061}"/>
    <cellStyle name="40% - Accent2 3 2 3 3" xfId="5393" xr:uid="{00000000-0005-0000-0000-0000BB040000}"/>
    <cellStyle name="40% - Accent2 3 2 3 3 2" xfId="13840" xr:uid="{6BE27204-C85E-4160-AF3D-1D91B6D98F2B}"/>
    <cellStyle name="40% - Accent2 3 2 3 4" xfId="9625" xr:uid="{8CB309F8-3C2C-408B-AE25-77C77FF4679A}"/>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398" xr:uid="{AE4AE02A-C7F5-41FC-9393-0C44DE918BAF}"/>
    <cellStyle name="40% - Accent2 3 2 4 2 3" xfId="12183" xr:uid="{491DF70D-57FD-4DCA-B35E-989B7926F88E}"/>
    <cellStyle name="40% - Accent2 3 2 4 3" xfId="5806" xr:uid="{00000000-0005-0000-0000-0000BF040000}"/>
    <cellStyle name="40% - Accent2 3 2 4 3 2" xfId="14253" xr:uid="{A8AD3E7D-C45E-41F1-913B-2B2E4C2DAF18}"/>
    <cellStyle name="40% - Accent2 3 2 4 4" xfId="10038" xr:uid="{578EE1E5-D208-41D0-82C8-D615E672508E}"/>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1" xr:uid="{EF523D80-072F-4C15-AB62-CA6F151DC2B2}"/>
    <cellStyle name="40% - Accent2 3 2 5 2 3" xfId="12596" xr:uid="{8ECE050C-4583-4B92-9540-4F9E9DD307A1}"/>
    <cellStyle name="40% - Accent2 3 2 5 3" xfId="6219" xr:uid="{00000000-0005-0000-0000-0000C3040000}"/>
    <cellStyle name="40% - Accent2 3 2 5 3 2" xfId="14666" xr:uid="{8863F521-0F38-46AA-A1EB-BDF7B4CD2169}"/>
    <cellStyle name="40% - Accent2 3 2 5 4" xfId="10451" xr:uid="{928EDD11-E7E5-4BB0-BD23-8FEF4D97BC6B}"/>
    <cellStyle name="40% - Accent2 3 2 6" xfId="2326" xr:uid="{00000000-0005-0000-0000-0000C4040000}"/>
    <cellStyle name="40% - Accent2 3 2 6 2" xfId="6632" xr:uid="{00000000-0005-0000-0000-0000C5040000}"/>
    <cellStyle name="40% - Accent2 3 2 6 2 2" xfId="15079" xr:uid="{F2CD74C6-49AA-4987-805B-0F9C1F4F1F83}"/>
    <cellStyle name="40% - Accent2 3 2 6 3" xfId="10864" xr:uid="{AF5BDF84-8233-48F9-AAB8-2C0F990FD4C8}"/>
    <cellStyle name="40% - Accent2 3 2 7" xfId="4566" xr:uid="{00000000-0005-0000-0000-0000C6040000}"/>
    <cellStyle name="40% - Accent2 3 2 7 2" xfId="13013" xr:uid="{1EFBA070-0C52-4B4F-915F-6638E6533EAE}"/>
    <cellStyle name="40% - Accent2 3 2 8" xfId="8798" xr:uid="{CA6EBDBD-8FBB-462B-A136-E0D06D990779}"/>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1" xr:uid="{57B720A1-48B8-42A2-8E74-4993AC261C0A}"/>
    <cellStyle name="40% - Accent2 3 3 2 3" xfId="11356" xr:uid="{C79EA756-B05B-4A33-95C3-26747AE64FE4}"/>
    <cellStyle name="40% - Accent2 3 3 3" xfId="4979" xr:uid="{00000000-0005-0000-0000-0000CA040000}"/>
    <cellStyle name="40% - Accent2 3 3 3 2" xfId="13426" xr:uid="{D4DD3484-1C18-4BFD-BF34-7072AE838BE8}"/>
    <cellStyle name="40% - Accent2 3 3 4" xfId="9211" xr:uid="{3658D196-602C-4FCE-BB26-69FF5F66D1E3}"/>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4" xr:uid="{814494C3-F136-4DB2-9D99-4241AD779EA8}"/>
    <cellStyle name="40% - Accent2 3 4 2 3" xfId="11769" xr:uid="{DD080A34-0777-4A3D-9DF4-C27FC94897E4}"/>
    <cellStyle name="40% - Accent2 3 4 3" xfId="5392" xr:uid="{00000000-0005-0000-0000-0000CE040000}"/>
    <cellStyle name="40% - Accent2 3 4 3 2" xfId="13839" xr:uid="{60C0F10D-4D36-4E18-A463-F7C4620D47FC}"/>
    <cellStyle name="40% - Accent2 3 4 4" xfId="9624" xr:uid="{A05A73D4-8606-478A-A188-BA930D51D148}"/>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397" xr:uid="{AD8185B9-9C21-4AA1-80CF-CC9307B99ADB}"/>
    <cellStyle name="40% - Accent2 3 5 2 3" xfId="12182" xr:uid="{D2F1AC60-7938-4AA3-BE97-A856B17B58E1}"/>
    <cellStyle name="40% - Accent2 3 5 3" xfId="5805" xr:uid="{00000000-0005-0000-0000-0000D2040000}"/>
    <cellStyle name="40% - Accent2 3 5 3 2" xfId="14252" xr:uid="{15CDC6F7-A95D-4840-BDF7-E9D5661004CF}"/>
    <cellStyle name="40% - Accent2 3 5 4" xfId="10037" xr:uid="{96BB1A9A-22F8-4429-8EB9-7ED01C7AB076}"/>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0" xr:uid="{9931BD6E-0240-47C3-BC0F-A3A1B75EF996}"/>
    <cellStyle name="40% - Accent2 3 6 2 3" xfId="12595" xr:uid="{B20C95AD-71EF-4CB1-B0A7-EDD35E3FB441}"/>
    <cellStyle name="40% - Accent2 3 6 3" xfId="6218" xr:uid="{00000000-0005-0000-0000-0000D6040000}"/>
    <cellStyle name="40% - Accent2 3 6 3 2" xfId="14665" xr:uid="{A28638E5-A289-4F3A-A1DE-0F420F5FFCE6}"/>
    <cellStyle name="40% - Accent2 3 6 4" xfId="10450" xr:uid="{47949B08-1FD5-45A9-ADA5-D3407C5B9FCD}"/>
    <cellStyle name="40% - Accent2 3 7" xfId="2325" xr:uid="{00000000-0005-0000-0000-0000D7040000}"/>
    <cellStyle name="40% - Accent2 3 7 2" xfId="6631" xr:uid="{00000000-0005-0000-0000-0000D8040000}"/>
    <cellStyle name="40% - Accent2 3 7 2 2" xfId="15078" xr:uid="{D59EDB7A-FB84-4831-86BE-EC948B5556A3}"/>
    <cellStyle name="40% - Accent2 3 7 3" xfId="10863" xr:uid="{8117A8EC-A17A-4853-BA5D-0224AAFE12AE}"/>
    <cellStyle name="40% - Accent2 3 8" xfId="4565" xr:uid="{00000000-0005-0000-0000-0000D9040000}"/>
    <cellStyle name="40% - Accent2 3 8 2" xfId="13012" xr:uid="{CE21BD8E-375B-46B6-9DB0-461584D47DBA}"/>
    <cellStyle name="40% - Accent2 3 9" xfId="8797" xr:uid="{BB2526B5-0B5B-49EF-AC0F-BC5C54E5D1FE}"/>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3" xr:uid="{683B6CFB-17C9-4063-997F-04C40320AD02}"/>
    <cellStyle name="40% - Accent2 4 2 2 3" xfId="11358" xr:uid="{6FC96ED9-C0D0-4B7B-896C-F5AB202E45F0}"/>
    <cellStyle name="40% - Accent2 4 2 3" xfId="4981" xr:uid="{00000000-0005-0000-0000-0000DE040000}"/>
    <cellStyle name="40% - Accent2 4 2 3 2" xfId="13428" xr:uid="{B6A6C8AF-9224-459D-9073-BB353473D222}"/>
    <cellStyle name="40% - Accent2 4 2 4" xfId="9213" xr:uid="{C48958B6-64AC-45FA-AE21-436B4229B03B}"/>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6" xr:uid="{03AB12C0-3A1D-4FC1-B41F-58EB98D7C96D}"/>
    <cellStyle name="40% - Accent2 4 3 2 3" xfId="11771" xr:uid="{592EB140-BDF9-4804-A3B0-21BD4D407059}"/>
    <cellStyle name="40% - Accent2 4 3 3" xfId="5394" xr:uid="{00000000-0005-0000-0000-0000E2040000}"/>
    <cellStyle name="40% - Accent2 4 3 3 2" xfId="13841" xr:uid="{78715B01-0031-419C-86A7-70065CE5C3CA}"/>
    <cellStyle name="40% - Accent2 4 3 4" xfId="9626" xr:uid="{47BC03B3-B1E9-43F0-B390-A9E2E011EAA1}"/>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399" xr:uid="{6755FDDA-1D8D-4272-BE03-A4431AF69BA9}"/>
    <cellStyle name="40% - Accent2 4 4 2 3" xfId="12184" xr:uid="{6EBB4D4D-42DF-4FEF-A171-450BCE1202AF}"/>
    <cellStyle name="40% - Accent2 4 4 3" xfId="5807" xr:uid="{00000000-0005-0000-0000-0000E6040000}"/>
    <cellStyle name="40% - Accent2 4 4 3 2" xfId="14254" xr:uid="{B647C5E2-0F4D-4DA0-A428-FF548C361CF1}"/>
    <cellStyle name="40% - Accent2 4 4 4" xfId="10039" xr:uid="{B4008EF6-BC56-4195-8699-FD8A3B25CEC5}"/>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2" xr:uid="{43CD6345-8942-4726-9450-4A49E5554F81}"/>
    <cellStyle name="40% - Accent2 4 5 2 3" xfId="12597" xr:uid="{ADAA8A42-131F-41CB-BA55-61C8B43E812C}"/>
    <cellStyle name="40% - Accent2 4 5 3" xfId="6220" xr:uid="{00000000-0005-0000-0000-0000EA040000}"/>
    <cellStyle name="40% - Accent2 4 5 3 2" xfId="14667" xr:uid="{79DBD11F-2AD5-482C-B596-9D307A613CEF}"/>
    <cellStyle name="40% - Accent2 4 5 4" xfId="10452" xr:uid="{13C8FEB3-6672-4FC5-83C9-1E8B16BBD6D7}"/>
    <cellStyle name="40% - Accent2 4 6" xfId="2327" xr:uid="{00000000-0005-0000-0000-0000EB040000}"/>
    <cellStyle name="40% - Accent2 4 6 2" xfId="6633" xr:uid="{00000000-0005-0000-0000-0000EC040000}"/>
    <cellStyle name="40% - Accent2 4 6 2 2" xfId="15080" xr:uid="{CA5EC82C-31BE-4903-98E2-F4C8DCCD1795}"/>
    <cellStyle name="40% - Accent2 4 6 3" xfId="10865" xr:uid="{98B2966E-8F6B-49E8-B647-C3E40B83FAB6}"/>
    <cellStyle name="40% - Accent2 4 7" xfId="4567" xr:uid="{00000000-0005-0000-0000-0000ED040000}"/>
    <cellStyle name="40% - Accent2 4 7 2" xfId="13014" xr:uid="{BF419F05-9868-455F-92F4-CEFC21A832A5}"/>
    <cellStyle name="40% - Accent2 4 8" xfId="8799" xr:uid="{D5743AC1-6E9B-467E-A81D-081CAB6C4D75}"/>
    <cellStyle name="40% - Accent2 5" xfId="626" xr:uid="{00000000-0005-0000-0000-0000EE040000}"/>
    <cellStyle name="40% - Accent2 5 2" xfId="2897" xr:uid="{00000000-0005-0000-0000-0000EF040000}"/>
    <cellStyle name="40% - Accent2 5 2 2" xfId="7119" xr:uid="{00000000-0005-0000-0000-0000F0040000}"/>
    <cellStyle name="40% - Accent2 5 2 2 2" xfId="15566" xr:uid="{477C141F-BA49-46B5-BE56-57790DD3DB39}"/>
    <cellStyle name="40% - Accent2 5 2 3" xfId="11351" xr:uid="{806E687C-7B39-4C4B-BCB8-5FF211718B34}"/>
    <cellStyle name="40% - Accent2 5 3" xfId="4974" xr:uid="{00000000-0005-0000-0000-0000F1040000}"/>
    <cellStyle name="40% - Accent2 5 3 2" xfId="13421" xr:uid="{3FE137FD-7FC1-4DD6-99CD-2109C0502A82}"/>
    <cellStyle name="40% - Accent2 5 4" xfId="9206" xr:uid="{51D50674-06D1-4737-9E12-6188CEE1A920}"/>
    <cellStyle name="40% - Accent2 6" xfId="1079" xr:uid="{00000000-0005-0000-0000-0000F2040000}"/>
    <cellStyle name="40% - Accent2 6 2" xfId="3310" xr:uid="{00000000-0005-0000-0000-0000F3040000}"/>
    <cellStyle name="40% - Accent2 6 2 2" xfId="7532" xr:uid="{00000000-0005-0000-0000-0000F4040000}"/>
    <cellStyle name="40% - Accent2 6 2 2 2" xfId="15979" xr:uid="{36816834-0898-47ED-B2C3-6545629702E6}"/>
    <cellStyle name="40% - Accent2 6 2 3" xfId="11764" xr:uid="{7E9DC2A5-3CD0-4F9A-B078-F18A62F3A014}"/>
    <cellStyle name="40% - Accent2 6 3" xfId="5387" xr:uid="{00000000-0005-0000-0000-0000F5040000}"/>
    <cellStyle name="40% - Accent2 6 3 2" xfId="13834" xr:uid="{BE27E7E6-B76D-4E14-B77D-F51475945082}"/>
    <cellStyle name="40% - Accent2 6 4" xfId="9619" xr:uid="{FA94207A-BB02-4582-9C15-D76121B26E5D}"/>
    <cellStyle name="40% - Accent2 7" xfId="1493" xr:uid="{00000000-0005-0000-0000-0000F6040000}"/>
    <cellStyle name="40% - Accent2 7 2" xfId="3723" xr:uid="{00000000-0005-0000-0000-0000F7040000}"/>
    <cellStyle name="40% - Accent2 7 2 2" xfId="7945" xr:uid="{00000000-0005-0000-0000-0000F8040000}"/>
    <cellStyle name="40% - Accent2 7 2 2 2" xfId="16392" xr:uid="{67682EFD-96A4-4E05-9FA1-AE9984C9FB4A}"/>
    <cellStyle name="40% - Accent2 7 2 3" xfId="12177" xr:uid="{662CCF69-572F-43F9-AEBD-CF18E2154B9C}"/>
    <cellStyle name="40% - Accent2 7 3" xfId="5800" xr:uid="{00000000-0005-0000-0000-0000F9040000}"/>
    <cellStyle name="40% - Accent2 7 3 2" xfId="14247" xr:uid="{E61C6608-46FC-4BF4-A884-E06BC44A6864}"/>
    <cellStyle name="40% - Accent2 7 4" xfId="10032" xr:uid="{0B9C5ECB-E40C-4803-8AD7-6BB184C7C2EB}"/>
    <cellStyle name="40% - Accent2 8" xfId="1907" xr:uid="{00000000-0005-0000-0000-0000FA040000}"/>
    <cellStyle name="40% - Accent2 8 2" xfId="4136" xr:uid="{00000000-0005-0000-0000-0000FB040000}"/>
    <cellStyle name="40% - Accent2 8 2 2" xfId="8358" xr:uid="{00000000-0005-0000-0000-0000FC040000}"/>
    <cellStyle name="40% - Accent2 8 2 2 2" xfId="16805" xr:uid="{DC919124-3073-4ABF-ABDF-469BC2866D4C}"/>
    <cellStyle name="40% - Accent2 8 2 3" xfId="12590" xr:uid="{1CD13C1B-43EF-4B8E-9AE4-C5D43115A582}"/>
    <cellStyle name="40% - Accent2 8 3" xfId="6213" xr:uid="{00000000-0005-0000-0000-0000FD040000}"/>
    <cellStyle name="40% - Accent2 8 3 2" xfId="14660" xr:uid="{679E9C64-2AD9-426F-B097-6058F8FD4F04}"/>
    <cellStyle name="40% - Accent2 8 4" xfId="10445" xr:uid="{58466387-05EE-44C1-B5CD-7E954CB52586}"/>
    <cellStyle name="40% - Accent2 9" xfId="2320" xr:uid="{00000000-0005-0000-0000-0000FE040000}"/>
    <cellStyle name="40% - Accent2 9 2" xfId="6626" xr:uid="{00000000-0005-0000-0000-0000FF040000}"/>
    <cellStyle name="40% - Accent2 9 2 2" xfId="15073" xr:uid="{80A1F4C9-85C4-4A7C-B5AD-4777D5ADA1DC}"/>
    <cellStyle name="40% - Accent2 9 3" xfId="10858" xr:uid="{99E49817-D49E-41B0-B4E9-5C23D6FA879D}"/>
    <cellStyle name="40% - Accent3" xfId="65" builtinId="39" customBuiltin="1"/>
    <cellStyle name="40% - Accent3 10" xfId="4568" xr:uid="{00000000-0005-0000-0000-000001050000}"/>
    <cellStyle name="40% - Accent3 10 2" xfId="13015" xr:uid="{775B4907-6540-4D36-94B0-FE36F2BA6B3A}"/>
    <cellStyle name="40% - Accent3 11" xfId="8800" xr:uid="{AB437667-E5F2-48D5-B9C6-EE0EBFB54A5B}"/>
    <cellStyle name="40% - Accent3 2" xfId="66" xr:uid="{00000000-0005-0000-0000-000002050000}"/>
    <cellStyle name="40% - Accent3 2 10" xfId="8801" xr:uid="{7F817C33-0B83-4797-8290-3F5F41EC57DE}"/>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77" xr:uid="{716B18FB-E648-4E20-84B5-80C204162244}"/>
    <cellStyle name="40% - Accent3 2 2 2 2 2 3" xfId="11362" xr:uid="{EFA77DD4-8ECC-4C21-A75E-E840F31F1DAF}"/>
    <cellStyle name="40% - Accent3 2 2 2 2 3" xfId="4985" xr:uid="{00000000-0005-0000-0000-000008050000}"/>
    <cellStyle name="40% - Accent3 2 2 2 2 3 2" xfId="13432" xr:uid="{01A20D1D-788D-4126-B8DD-D780313569FB}"/>
    <cellStyle name="40% - Accent3 2 2 2 2 4" xfId="9217" xr:uid="{5BFF6BB6-759B-4827-A117-D490D240BA68}"/>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0" xr:uid="{00A1144A-9899-4396-B931-E71ADD0D24DE}"/>
    <cellStyle name="40% - Accent3 2 2 2 3 2 3" xfId="11775" xr:uid="{B0FD1DCD-28DC-4C09-BCCD-9B78D12819E7}"/>
    <cellStyle name="40% - Accent3 2 2 2 3 3" xfId="5398" xr:uid="{00000000-0005-0000-0000-00000C050000}"/>
    <cellStyle name="40% - Accent3 2 2 2 3 3 2" xfId="13845" xr:uid="{5E865082-A0CB-404D-816D-C4049C0F82A9}"/>
    <cellStyle name="40% - Accent3 2 2 2 3 4" xfId="9630" xr:uid="{C6F31F9D-963B-4F26-820B-42A93F84E87C}"/>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3" xr:uid="{95110B32-334E-489F-B83E-34C385E17674}"/>
    <cellStyle name="40% - Accent3 2 2 2 4 2 3" xfId="12188" xr:uid="{009EA309-4FD7-4A1C-ADAF-EE9C41AAA79A}"/>
    <cellStyle name="40% - Accent3 2 2 2 4 3" xfId="5811" xr:uid="{00000000-0005-0000-0000-000010050000}"/>
    <cellStyle name="40% - Accent3 2 2 2 4 3 2" xfId="14258" xr:uid="{6E05D863-F00F-4829-950F-54EBABECCB25}"/>
    <cellStyle name="40% - Accent3 2 2 2 4 4" xfId="10043" xr:uid="{8F436147-1B1C-4D82-9ECA-5F27E386A0C3}"/>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6" xr:uid="{AFA00413-B5B2-4CA9-8D16-8DCA97BF9F2E}"/>
    <cellStyle name="40% - Accent3 2 2 2 5 2 3" xfId="12601" xr:uid="{CEB42E56-BF12-4722-BFEF-BA4F02E4FA65}"/>
    <cellStyle name="40% - Accent3 2 2 2 5 3" xfId="6224" xr:uid="{00000000-0005-0000-0000-000014050000}"/>
    <cellStyle name="40% - Accent3 2 2 2 5 3 2" xfId="14671" xr:uid="{80787E8C-A30A-4830-8148-CDA3456B1A49}"/>
    <cellStyle name="40% - Accent3 2 2 2 5 4" xfId="10456" xr:uid="{116F0FDD-D70E-4CF9-8FCE-E0420A8E6EDE}"/>
    <cellStyle name="40% - Accent3 2 2 2 6" xfId="2331" xr:uid="{00000000-0005-0000-0000-000015050000}"/>
    <cellStyle name="40% - Accent3 2 2 2 6 2" xfId="6637" xr:uid="{00000000-0005-0000-0000-000016050000}"/>
    <cellStyle name="40% - Accent3 2 2 2 6 2 2" xfId="15084" xr:uid="{F19B2956-A1BD-4354-BDDC-D0C0FCC0F955}"/>
    <cellStyle name="40% - Accent3 2 2 2 6 3" xfId="10869" xr:uid="{386A0621-D48C-4FF9-BCEC-1A0CBCF381AF}"/>
    <cellStyle name="40% - Accent3 2 2 2 7" xfId="4571" xr:uid="{00000000-0005-0000-0000-000017050000}"/>
    <cellStyle name="40% - Accent3 2 2 2 7 2" xfId="13018" xr:uid="{F5B4A812-B7DC-4A1C-B4A1-8DA966EF6E3C}"/>
    <cellStyle name="40% - Accent3 2 2 2 8" xfId="8803" xr:uid="{813AD344-EC8F-4A56-9DFB-99FB03D6B233}"/>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6" xr:uid="{FC117503-E7F4-4198-B3DF-C8ECF180FFB8}"/>
    <cellStyle name="40% - Accent3 2 2 3 2 3" xfId="11361" xr:uid="{8E5632DD-188D-452A-909D-FDFC5F93583B}"/>
    <cellStyle name="40% - Accent3 2 2 3 3" xfId="4984" xr:uid="{00000000-0005-0000-0000-00001B050000}"/>
    <cellStyle name="40% - Accent3 2 2 3 3 2" xfId="13431" xr:uid="{4A63E768-911C-49E1-804B-FCABA1C43263}"/>
    <cellStyle name="40% - Accent3 2 2 3 4" xfId="9216" xr:uid="{DB093050-27D2-432F-86BD-6EE0F803508E}"/>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89" xr:uid="{E0FDCC2D-32FB-4BBD-AAED-5670900D55DD}"/>
    <cellStyle name="40% - Accent3 2 2 4 2 3" xfId="11774" xr:uid="{23CE0775-0B95-4B7F-AB85-873A84611D13}"/>
    <cellStyle name="40% - Accent3 2 2 4 3" xfId="5397" xr:uid="{00000000-0005-0000-0000-00001F050000}"/>
    <cellStyle name="40% - Accent3 2 2 4 3 2" xfId="13844" xr:uid="{EBB1AD3F-8C6A-4FF2-935C-C8B63C10BDBD}"/>
    <cellStyle name="40% - Accent3 2 2 4 4" xfId="9629" xr:uid="{0FF463F9-5D5F-478A-98B0-9092D8E519AF}"/>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2" xr:uid="{32209977-4984-43A1-A693-3AC3F61DE56A}"/>
    <cellStyle name="40% - Accent3 2 2 5 2 3" xfId="12187" xr:uid="{E50C8E48-714A-4B51-92A1-806795B9B83B}"/>
    <cellStyle name="40% - Accent3 2 2 5 3" xfId="5810" xr:uid="{00000000-0005-0000-0000-000023050000}"/>
    <cellStyle name="40% - Accent3 2 2 5 3 2" xfId="14257" xr:uid="{62E39D2E-E0D1-4C51-AF55-F4CC3C3597F7}"/>
    <cellStyle name="40% - Accent3 2 2 5 4" xfId="10042" xr:uid="{31E90128-29BF-44CC-BA0A-0EF3886BE9E1}"/>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5" xr:uid="{7FC1E16D-4A91-4014-9331-9B045F80064B}"/>
    <cellStyle name="40% - Accent3 2 2 6 2 3" xfId="12600" xr:uid="{4053E25F-C0ED-43EC-824C-02071B90BBA7}"/>
    <cellStyle name="40% - Accent3 2 2 6 3" xfId="6223" xr:uid="{00000000-0005-0000-0000-000027050000}"/>
    <cellStyle name="40% - Accent3 2 2 6 3 2" xfId="14670" xr:uid="{80F2B835-6667-4A65-83E3-CD01FD90AF0B}"/>
    <cellStyle name="40% - Accent3 2 2 6 4" xfId="10455" xr:uid="{CA3B5922-61DF-4408-ADF3-E3E5816FA029}"/>
    <cellStyle name="40% - Accent3 2 2 7" xfId="2330" xr:uid="{00000000-0005-0000-0000-000028050000}"/>
    <cellStyle name="40% - Accent3 2 2 7 2" xfId="6636" xr:uid="{00000000-0005-0000-0000-000029050000}"/>
    <cellStyle name="40% - Accent3 2 2 7 2 2" xfId="15083" xr:uid="{7242A2BA-D9D4-449D-842D-19672C7E4ED3}"/>
    <cellStyle name="40% - Accent3 2 2 7 3" xfId="10868" xr:uid="{54C7D276-CF8F-49BD-914B-1E4DB8190926}"/>
    <cellStyle name="40% - Accent3 2 2 8" xfId="4570" xr:uid="{00000000-0005-0000-0000-00002A050000}"/>
    <cellStyle name="40% - Accent3 2 2 8 2" xfId="13017" xr:uid="{C918350D-DD50-4843-A547-5743C3E41333}"/>
    <cellStyle name="40% - Accent3 2 2 9" xfId="8802" xr:uid="{7CF2529B-D7B7-4EE3-B7D1-8D503D77D891}"/>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78" xr:uid="{841A0BC9-75C0-48F7-BAAA-B22E986C61EC}"/>
    <cellStyle name="40% - Accent3 2 3 2 2 3" xfId="11363" xr:uid="{899C0371-4EE5-4CC3-ABBB-6EAC687A6982}"/>
    <cellStyle name="40% - Accent3 2 3 2 3" xfId="4986" xr:uid="{00000000-0005-0000-0000-00002F050000}"/>
    <cellStyle name="40% - Accent3 2 3 2 3 2" xfId="13433" xr:uid="{BCA2FABB-78CC-40EC-A826-0AC609BCD486}"/>
    <cellStyle name="40% - Accent3 2 3 2 4" xfId="9218" xr:uid="{BDE88011-2B02-44F9-8595-2CBC928A15B0}"/>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1" xr:uid="{DBC5E7B2-35DB-4E27-8C0B-F10386A96983}"/>
    <cellStyle name="40% - Accent3 2 3 3 2 3" xfId="11776" xr:uid="{ACCECA8D-62BA-47CE-8D42-06FAA39843C6}"/>
    <cellStyle name="40% - Accent3 2 3 3 3" xfId="5399" xr:uid="{00000000-0005-0000-0000-000033050000}"/>
    <cellStyle name="40% - Accent3 2 3 3 3 2" xfId="13846" xr:uid="{BF81F385-0959-4BED-B3ED-8B3FBF5006C3}"/>
    <cellStyle name="40% - Accent3 2 3 3 4" xfId="9631" xr:uid="{DEFBE5D7-C76D-46A3-852F-807F6FD5A888}"/>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4" xr:uid="{7932D098-0FEA-4C1B-AAAC-90C6576D16A5}"/>
    <cellStyle name="40% - Accent3 2 3 4 2 3" xfId="12189" xr:uid="{4090AF79-4F5D-4304-8C49-D67498968488}"/>
    <cellStyle name="40% - Accent3 2 3 4 3" xfId="5812" xr:uid="{00000000-0005-0000-0000-000037050000}"/>
    <cellStyle name="40% - Accent3 2 3 4 3 2" xfId="14259" xr:uid="{93DA11FD-0505-40A7-B0AA-D00A4F32481C}"/>
    <cellStyle name="40% - Accent3 2 3 4 4" xfId="10044" xr:uid="{CE44E008-600E-45D3-9D09-5469D399B5C3}"/>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17" xr:uid="{C968AB77-AFD3-4D07-8974-27E303FE3225}"/>
    <cellStyle name="40% - Accent3 2 3 5 2 3" xfId="12602" xr:uid="{DA391CBA-396A-4316-A12A-374A1301837B}"/>
    <cellStyle name="40% - Accent3 2 3 5 3" xfId="6225" xr:uid="{00000000-0005-0000-0000-00003B050000}"/>
    <cellStyle name="40% - Accent3 2 3 5 3 2" xfId="14672" xr:uid="{373914EE-7384-4DC6-96A4-33C714A13D57}"/>
    <cellStyle name="40% - Accent3 2 3 5 4" xfId="10457" xr:uid="{5F2BCEE6-C76E-4C08-B072-856AF8DBFD4D}"/>
    <cellStyle name="40% - Accent3 2 3 6" xfId="2332" xr:uid="{00000000-0005-0000-0000-00003C050000}"/>
    <cellStyle name="40% - Accent3 2 3 6 2" xfId="6638" xr:uid="{00000000-0005-0000-0000-00003D050000}"/>
    <cellStyle name="40% - Accent3 2 3 6 2 2" xfId="15085" xr:uid="{06BFC8FB-CF07-48F7-B79A-6DBBB8DB1B36}"/>
    <cellStyle name="40% - Accent3 2 3 6 3" xfId="10870" xr:uid="{91EACC9C-B191-482B-B636-A2A0597FF312}"/>
    <cellStyle name="40% - Accent3 2 3 7" xfId="4572" xr:uid="{00000000-0005-0000-0000-00003E050000}"/>
    <cellStyle name="40% - Accent3 2 3 7 2" xfId="13019" xr:uid="{9617AC9F-8A85-451E-9235-A39572F1C3E2}"/>
    <cellStyle name="40% - Accent3 2 3 8" xfId="8804" xr:uid="{AB1256AE-38FB-4C08-B5F2-52116FA9EE77}"/>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5" xr:uid="{207083CA-07CB-465E-9EE3-4D5613B67963}"/>
    <cellStyle name="40% - Accent3 2 4 2 3" xfId="11360" xr:uid="{EA68BACA-E792-4C31-9C38-7CD849F4F073}"/>
    <cellStyle name="40% - Accent3 2 4 3" xfId="4983" xr:uid="{00000000-0005-0000-0000-000042050000}"/>
    <cellStyle name="40% - Accent3 2 4 3 2" xfId="13430" xr:uid="{DC950A09-A5AF-4CC1-8FFB-683098C8AE8B}"/>
    <cellStyle name="40% - Accent3 2 4 4" xfId="9215" xr:uid="{0D52BFCB-5CEB-43C0-8E7A-2C35EDFA3A95}"/>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88" xr:uid="{87658309-679A-4A8C-9649-45098F4CAC34}"/>
    <cellStyle name="40% - Accent3 2 5 2 3" xfId="11773" xr:uid="{F8A247E0-805D-4836-9ADD-88248ED76339}"/>
    <cellStyle name="40% - Accent3 2 5 3" xfId="5396" xr:uid="{00000000-0005-0000-0000-000046050000}"/>
    <cellStyle name="40% - Accent3 2 5 3 2" xfId="13843" xr:uid="{2FFAE102-F2A1-4267-8FCB-39D67200D744}"/>
    <cellStyle name="40% - Accent3 2 5 4" xfId="9628" xr:uid="{86301838-D2B8-4605-81CE-0822CD57D1D6}"/>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1" xr:uid="{542B960F-7AE9-45DD-B6E4-D91872FCE15D}"/>
    <cellStyle name="40% - Accent3 2 6 2 3" xfId="12186" xr:uid="{831ADA07-D735-4E8B-A160-4429596B3228}"/>
    <cellStyle name="40% - Accent3 2 6 3" xfId="5809" xr:uid="{00000000-0005-0000-0000-00004A050000}"/>
    <cellStyle name="40% - Accent3 2 6 3 2" xfId="14256" xr:uid="{567A7862-62A6-4234-A2E7-5792243AD555}"/>
    <cellStyle name="40% - Accent3 2 6 4" xfId="10041" xr:uid="{0B916836-7CA4-4990-A145-6F51404EB739}"/>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4" xr:uid="{1F1306B3-9B9C-409B-8E1B-75659B65ACF6}"/>
    <cellStyle name="40% - Accent3 2 7 2 3" xfId="12599" xr:uid="{1111C8DD-1C1A-476D-AB42-B3A34BDA6F4E}"/>
    <cellStyle name="40% - Accent3 2 7 3" xfId="6222" xr:uid="{00000000-0005-0000-0000-00004E050000}"/>
    <cellStyle name="40% - Accent3 2 7 3 2" xfId="14669" xr:uid="{9EE1227E-F5B8-4851-9479-BB2A04F45FEF}"/>
    <cellStyle name="40% - Accent3 2 7 4" xfId="10454" xr:uid="{0BB722BF-7CB1-4167-8DDF-40D586D04F14}"/>
    <cellStyle name="40% - Accent3 2 8" xfId="2329" xr:uid="{00000000-0005-0000-0000-00004F050000}"/>
    <cellStyle name="40% - Accent3 2 8 2" xfId="6635" xr:uid="{00000000-0005-0000-0000-000050050000}"/>
    <cellStyle name="40% - Accent3 2 8 2 2" xfId="15082" xr:uid="{1F2524DB-FB6D-46DA-8A4A-544F1DBC4A11}"/>
    <cellStyle name="40% - Accent3 2 8 3" xfId="10867" xr:uid="{8DF2E350-386B-4DB2-BBF3-7EF2B2C878EB}"/>
    <cellStyle name="40% - Accent3 2 9" xfId="4569" xr:uid="{00000000-0005-0000-0000-000051050000}"/>
    <cellStyle name="40% - Accent3 2 9 2" xfId="13016" xr:uid="{97A55343-0E4F-471B-8D69-4F00844234B9}"/>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0" xr:uid="{0EADC4EC-47B1-468F-BE70-546488C95C5C}"/>
    <cellStyle name="40% - Accent3 3 2 2 2 3" xfId="11365" xr:uid="{BC83348D-F3AB-44DF-884C-F0C4C5696083}"/>
    <cellStyle name="40% - Accent3 3 2 2 3" xfId="4988" xr:uid="{00000000-0005-0000-0000-000057050000}"/>
    <cellStyle name="40% - Accent3 3 2 2 3 2" xfId="13435" xr:uid="{2D49C23B-1614-41CA-B6AD-DA1C431583AA}"/>
    <cellStyle name="40% - Accent3 3 2 2 4" xfId="9220" xr:uid="{52B8D828-9C85-480A-93F0-06A768AE502D}"/>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3" xr:uid="{611B65BC-6F02-4AC6-A0EA-38C0397BA7FA}"/>
    <cellStyle name="40% - Accent3 3 2 3 2 3" xfId="11778" xr:uid="{C2ACBB34-1101-4AC4-A643-5D0C31011EBB}"/>
    <cellStyle name="40% - Accent3 3 2 3 3" xfId="5401" xr:uid="{00000000-0005-0000-0000-00005B050000}"/>
    <cellStyle name="40% - Accent3 3 2 3 3 2" xfId="13848" xr:uid="{685EDD9D-2C8A-4481-A1F3-3C7C0EB8A759}"/>
    <cellStyle name="40% - Accent3 3 2 3 4" xfId="9633" xr:uid="{C3B42693-B026-4CAC-B190-A2EE4EEA9BD4}"/>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6" xr:uid="{35DBDF57-D5F3-498F-99E8-D84C35896E11}"/>
    <cellStyle name="40% - Accent3 3 2 4 2 3" xfId="12191" xr:uid="{C1CE54D0-A52E-4A07-91A3-2431C0023BD5}"/>
    <cellStyle name="40% - Accent3 3 2 4 3" xfId="5814" xr:uid="{00000000-0005-0000-0000-00005F050000}"/>
    <cellStyle name="40% - Accent3 3 2 4 3 2" xfId="14261" xr:uid="{CBC03772-AF9F-4115-991E-390B6A532C73}"/>
    <cellStyle name="40% - Accent3 3 2 4 4" xfId="10046" xr:uid="{81FCAEC5-7930-44CD-8F44-1DDDFCC59B6E}"/>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19" xr:uid="{DFF9E00B-56D0-413E-B538-4E6F772B4B38}"/>
    <cellStyle name="40% - Accent3 3 2 5 2 3" xfId="12604" xr:uid="{D729AE1C-7E9F-47CD-838D-3E4F3EEFF903}"/>
    <cellStyle name="40% - Accent3 3 2 5 3" xfId="6227" xr:uid="{00000000-0005-0000-0000-000063050000}"/>
    <cellStyle name="40% - Accent3 3 2 5 3 2" xfId="14674" xr:uid="{905FD9A5-9393-4051-9218-C376F898B4C5}"/>
    <cellStyle name="40% - Accent3 3 2 5 4" xfId="10459" xr:uid="{87210314-DA1B-42AE-BF63-69E9FE2B6D93}"/>
    <cellStyle name="40% - Accent3 3 2 6" xfId="2334" xr:uid="{00000000-0005-0000-0000-000064050000}"/>
    <cellStyle name="40% - Accent3 3 2 6 2" xfId="6640" xr:uid="{00000000-0005-0000-0000-000065050000}"/>
    <cellStyle name="40% - Accent3 3 2 6 2 2" xfId="15087" xr:uid="{175737B5-6403-40D1-8569-93A29E1BF62F}"/>
    <cellStyle name="40% - Accent3 3 2 6 3" xfId="10872" xr:uid="{7C95ED25-B6DF-4C9B-8E46-9FE0AA425618}"/>
    <cellStyle name="40% - Accent3 3 2 7" xfId="4574" xr:uid="{00000000-0005-0000-0000-000066050000}"/>
    <cellStyle name="40% - Accent3 3 2 7 2" xfId="13021" xr:uid="{BF795DE2-AD83-496A-980B-B0911F02BC86}"/>
    <cellStyle name="40% - Accent3 3 2 8" xfId="8806" xr:uid="{D3FC20FE-AF76-4A85-95CB-86CD39D4C16C}"/>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79" xr:uid="{7695CDA3-9CD2-4CFC-B78D-0741465F011E}"/>
    <cellStyle name="40% - Accent3 3 3 2 3" xfId="11364" xr:uid="{6EF3C6B7-47D1-48AA-8216-5367C75FC413}"/>
    <cellStyle name="40% - Accent3 3 3 3" xfId="4987" xr:uid="{00000000-0005-0000-0000-00006A050000}"/>
    <cellStyle name="40% - Accent3 3 3 3 2" xfId="13434" xr:uid="{29A9EAD5-B6BD-44A9-A499-A491AF6FD12F}"/>
    <cellStyle name="40% - Accent3 3 3 4" xfId="9219" xr:uid="{9DC73A9F-5782-40A6-8107-3345BF5904DF}"/>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2" xr:uid="{42F711C5-331E-4211-83FB-DF2450E07FF1}"/>
    <cellStyle name="40% - Accent3 3 4 2 3" xfId="11777" xr:uid="{56B53ADD-8060-4E9F-8CB1-314FCE23A497}"/>
    <cellStyle name="40% - Accent3 3 4 3" xfId="5400" xr:uid="{00000000-0005-0000-0000-00006E050000}"/>
    <cellStyle name="40% - Accent3 3 4 3 2" xfId="13847" xr:uid="{D775409E-978B-4B02-8B4B-0CCADDC36E3D}"/>
    <cellStyle name="40% - Accent3 3 4 4" xfId="9632" xr:uid="{79D47F36-D61A-4ACD-B2E8-5B6C39AC8B81}"/>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5" xr:uid="{7EF1F65B-7657-4E95-A529-F774C46614DE}"/>
    <cellStyle name="40% - Accent3 3 5 2 3" xfId="12190" xr:uid="{9B58224E-AD45-4D66-91A2-B6795244DFC3}"/>
    <cellStyle name="40% - Accent3 3 5 3" xfId="5813" xr:uid="{00000000-0005-0000-0000-000072050000}"/>
    <cellStyle name="40% - Accent3 3 5 3 2" xfId="14260" xr:uid="{B5BB30AC-3D72-42FB-8715-E00029167E9F}"/>
    <cellStyle name="40% - Accent3 3 5 4" xfId="10045" xr:uid="{F263724A-E6F6-4085-B2D2-13B9F872D263}"/>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18" xr:uid="{EF91C42E-B858-4ADF-9DE4-7F8D29DD19DA}"/>
    <cellStyle name="40% - Accent3 3 6 2 3" xfId="12603" xr:uid="{EF79DE26-532F-4162-85D4-F78D5EDA8F14}"/>
    <cellStyle name="40% - Accent3 3 6 3" xfId="6226" xr:uid="{00000000-0005-0000-0000-000076050000}"/>
    <cellStyle name="40% - Accent3 3 6 3 2" xfId="14673" xr:uid="{F58E0FA5-2CF0-4434-9B7E-DA374BD6B703}"/>
    <cellStyle name="40% - Accent3 3 6 4" xfId="10458" xr:uid="{7D5B0767-200F-426F-A229-D04611FA43CA}"/>
    <cellStyle name="40% - Accent3 3 7" xfId="2333" xr:uid="{00000000-0005-0000-0000-000077050000}"/>
    <cellStyle name="40% - Accent3 3 7 2" xfId="6639" xr:uid="{00000000-0005-0000-0000-000078050000}"/>
    <cellStyle name="40% - Accent3 3 7 2 2" xfId="15086" xr:uid="{5CAB8B0A-FC49-4309-A480-69880DD3C208}"/>
    <cellStyle name="40% - Accent3 3 7 3" xfId="10871" xr:uid="{CF3F302F-FC02-4CFD-B7A7-1FED9E7E881D}"/>
    <cellStyle name="40% - Accent3 3 8" xfId="4573" xr:uid="{00000000-0005-0000-0000-000079050000}"/>
    <cellStyle name="40% - Accent3 3 8 2" xfId="13020" xr:uid="{FCF33C68-5E5B-476D-BA64-1F5A2F72325E}"/>
    <cellStyle name="40% - Accent3 3 9" xfId="8805" xr:uid="{8E850452-3BD6-43F6-A082-8A4D69D07CA7}"/>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1" xr:uid="{18F81B34-33F5-45C4-9F74-FE1D925A8EAC}"/>
    <cellStyle name="40% - Accent3 4 2 2 3" xfId="11366" xr:uid="{3BC343DD-A4F5-4850-AC75-EB596BE7CAF6}"/>
    <cellStyle name="40% - Accent3 4 2 3" xfId="4989" xr:uid="{00000000-0005-0000-0000-00007E050000}"/>
    <cellStyle name="40% - Accent3 4 2 3 2" xfId="13436" xr:uid="{329BAAC3-2975-4FF8-BB1C-E6835F981AFA}"/>
    <cellStyle name="40% - Accent3 4 2 4" xfId="9221" xr:uid="{D0F9EACF-3A36-4348-9B45-8DD5B0602178}"/>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4" xr:uid="{79129471-D89F-4CEC-9294-2502AF9F1C1E}"/>
    <cellStyle name="40% - Accent3 4 3 2 3" xfId="11779" xr:uid="{AF6F16C9-A92A-42FC-BE22-40F26D209CA0}"/>
    <cellStyle name="40% - Accent3 4 3 3" xfId="5402" xr:uid="{00000000-0005-0000-0000-000082050000}"/>
    <cellStyle name="40% - Accent3 4 3 3 2" xfId="13849" xr:uid="{6BC1DB5C-D004-475A-96A6-EEB9CC69F5F9}"/>
    <cellStyle name="40% - Accent3 4 3 4" xfId="9634" xr:uid="{DBD34954-9817-4F47-A571-BD54AD7D833B}"/>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07" xr:uid="{29547A96-F095-49F0-A579-1DED6F97B1E2}"/>
    <cellStyle name="40% - Accent3 4 4 2 3" xfId="12192" xr:uid="{B0233D64-2238-4F3A-8E5D-F36EE0BAEC06}"/>
    <cellStyle name="40% - Accent3 4 4 3" xfId="5815" xr:uid="{00000000-0005-0000-0000-000086050000}"/>
    <cellStyle name="40% - Accent3 4 4 3 2" xfId="14262" xr:uid="{F5D55171-FADB-46C1-A512-D11D3D47DFDB}"/>
    <cellStyle name="40% - Accent3 4 4 4" xfId="10047" xr:uid="{D510F2B0-A278-4314-B1F4-6D19BCD8F5B5}"/>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0" xr:uid="{D8D3BA3A-350B-4CEF-BFA6-11EC85D991FD}"/>
    <cellStyle name="40% - Accent3 4 5 2 3" xfId="12605" xr:uid="{9F672634-79BE-4584-AE55-C3482EA190F1}"/>
    <cellStyle name="40% - Accent3 4 5 3" xfId="6228" xr:uid="{00000000-0005-0000-0000-00008A050000}"/>
    <cellStyle name="40% - Accent3 4 5 3 2" xfId="14675" xr:uid="{2DC2EBC5-0E93-4636-AB9A-D170DF49A023}"/>
    <cellStyle name="40% - Accent3 4 5 4" xfId="10460" xr:uid="{1DFEC942-6548-4677-9DAF-CA0007A0A368}"/>
    <cellStyle name="40% - Accent3 4 6" xfId="2335" xr:uid="{00000000-0005-0000-0000-00008B050000}"/>
    <cellStyle name="40% - Accent3 4 6 2" xfId="6641" xr:uid="{00000000-0005-0000-0000-00008C050000}"/>
    <cellStyle name="40% - Accent3 4 6 2 2" xfId="15088" xr:uid="{9177FD11-2A9F-45AB-998F-FD10C02E6FCE}"/>
    <cellStyle name="40% - Accent3 4 6 3" xfId="10873" xr:uid="{FBC18746-D733-4DBF-8015-35F761522269}"/>
    <cellStyle name="40% - Accent3 4 7" xfId="4575" xr:uid="{00000000-0005-0000-0000-00008D050000}"/>
    <cellStyle name="40% - Accent3 4 7 2" xfId="13022" xr:uid="{551D673A-77D7-4C27-A743-F4A0206572C3}"/>
    <cellStyle name="40% - Accent3 4 8" xfId="8807" xr:uid="{828C85CC-A4D2-4C9E-A206-3A5265779C34}"/>
    <cellStyle name="40% - Accent3 5" xfId="634" xr:uid="{00000000-0005-0000-0000-00008E050000}"/>
    <cellStyle name="40% - Accent3 5 2" xfId="2905" xr:uid="{00000000-0005-0000-0000-00008F050000}"/>
    <cellStyle name="40% - Accent3 5 2 2" xfId="7127" xr:uid="{00000000-0005-0000-0000-000090050000}"/>
    <cellStyle name="40% - Accent3 5 2 2 2" xfId="15574" xr:uid="{C7BBE5AD-30ED-42C4-866C-AAE9ADEBDC2C}"/>
    <cellStyle name="40% - Accent3 5 2 3" xfId="11359" xr:uid="{E4AB92E7-A2CE-4BC6-BA58-84F388077634}"/>
    <cellStyle name="40% - Accent3 5 3" xfId="4982" xr:uid="{00000000-0005-0000-0000-000091050000}"/>
    <cellStyle name="40% - Accent3 5 3 2" xfId="13429" xr:uid="{2BBA0D03-2282-40B9-A945-4B08A718E9F8}"/>
    <cellStyle name="40% - Accent3 5 4" xfId="9214" xr:uid="{1182A09A-AEB5-4A60-A199-8135519D803E}"/>
    <cellStyle name="40% - Accent3 6" xfId="1087" xr:uid="{00000000-0005-0000-0000-000092050000}"/>
    <cellStyle name="40% - Accent3 6 2" xfId="3318" xr:uid="{00000000-0005-0000-0000-000093050000}"/>
    <cellStyle name="40% - Accent3 6 2 2" xfId="7540" xr:uid="{00000000-0005-0000-0000-000094050000}"/>
    <cellStyle name="40% - Accent3 6 2 2 2" xfId="15987" xr:uid="{4BEA7F53-823E-407C-926E-FFF84AAC0E22}"/>
    <cellStyle name="40% - Accent3 6 2 3" xfId="11772" xr:uid="{4DE11B87-6E5F-4587-B6B9-2525ED135B8C}"/>
    <cellStyle name="40% - Accent3 6 3" xfId="5395" xr:uid="{00000000-0005-0000-0000-000095050000}"/>
    <cellStyle name="40% - Accent3 6 3 2" xfId="13842" xr:uid="{AF9767BC-4D15-4B09-8BBA-37A363F2CC8B}"/>
    <cellStyle name="40% - Accent3 6 4" xfId="9627" xr:uid="{88392459-129C-44E8-81FA-94C7363AB67E}"/>
    <cellStyle name="40% - Accent3 7" xfId="1501" xr:uid="{00000000-0005-0000-0000-000096050000}"/>
    <cellStyle name="40% - Accent3 7 2" xfId="3731" xr:uid="{00000000-0005-0000-0000-000097050000}"/>
    <cellStyle name="40% - Accent3 7 2 2" xfId="7953" xr:uid="{00000000-0005-0000-0000-000098050000}"/>
    <cellStyle name="40% - Accent3 7 2 2 2" xfId="16400" xr:uid="{D58DBFBA-A7C3-4EE7-99DB-2EA12A0D7C55}"/>
    <cellStyle name="40% - Accent3 7 2 3" xfId="12185" xr:uid="{DC2F469F-DD2F-4A05-94A6-812AF36A0717}"/>
    <cellStyle name="40% - Accent3 7 3" xfId="5808" xr:uid="{00000000-0005-0000-0000-000099050000}"/>
    <cellStyle name="40% - Accent3 7 3 2" xfId="14255" xr:uid="{E2E82252-7ECB-4E28-98F6-2974759EE5F4}"/>
    <cellStyle name="40% - Accent3 7 4" xfId="10040" xr:uid="{434AA89B-8028-4162-9EF1-A9399095F712}"/>
    <cellStyle name="40% - Accent3 8" xfId="1915" xr:uid="{00000000-0005-0000-0000-00009A050000}"/>
    <cellStyle name="40% - Accent3 8 2" xfId="4144" xr:uid="{00000000-0005-0000-0000-00009B050000}"/>
    <cellStyle name="40% - Accent3 8 2 2" xfId="8366" xr:uid="{00000000-0005-0000-0000-00009C050000}"/>
    <cellStyle name="40% - Accent3 8 2 2 2" xfId="16813" xr:uid="{AA1D44E4-018A-4E97-BC70-599F7711D7EC}"/>
    <cellStyle name="40% - Accent3 8 2 3" xfId="12598" xr:uid="{7C6A87E2-3B07-4870-A1EC-CE664098C5D1}"/>
    <cellStyle name="40% - Accent3 8 3" xfId="6221" xr:uid="{00000000-0005-0000-0000-00009D050000}"/>
    <cellStyle name="40% - Accent3 8 3 2" xfId="14668" xr:uid="{87B7B11A-2618-4647-AA98-61DEE1FBDA1C}"/>
    <cellStyle name="40% - Accent3 8 4" xfId="10453" xr:uid="{E70F6CE0-5026-425B-A69B-61B62404D959}"/>
    <cellStyle name="40% - Accent3 9" xfId="2328" xr:uid="{00000000-0005-0000-0000-00009E050000}"/>
    <cellStyle name="40% - Accent3 9 2" xfId="6634" xr:uid="{00000000-0005-0000-0000-00009F050000}"/>
    <cellStyle name="40% - Accent3 9 2 2" xfId="15081" xr:uid="{60AB1D75-C00A-490A-97EF-82F71CB797D8}"/>
    <cellStyle name="40% - Accent3 9 3" xfId="10866" xr:uid="{A672B8AF-288F-4C09-9BFA-4A38415A4E6C}"/>
    <cellStyle name="40% - Accent4" xfId="73" builtinId="43" customBuiltin="1"/>
    <cellStyle name="40% - Accent4 10" xfId="4576" xr:uid="{00000000-0005-0000-0000-0000A1050000}"/>
    <cellStyle name="40% - Accent4 10 2" xfId="13023" xr:uid="{9C46B492-DD24-4809-B916-E279BC277450}"/>
    <cellStyle name="40% - Accent4 11" xfId="8808" xr:uid="{F348DC94-5A7E-47F0-BDA3-4F0A1895B905}"/>
    <cellStyle name="40% - Accent4 2" xfId="74" xr:uid="{00000000-0005-0000-0000-0000A2050000}"/>
    <cellStyle name="40% - Accent4 2 10" xfId="8809" xr:uid="{C8E85B26-7CEB-4684-9700-8E6DEBF1E5AB}"/>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5" xr:uid="{C18B6BED-7C49-4CBB-B827-B6EAEE9B195B}"/>
    <cellStyle name="40% - Accent4 2 2 2 2 2 3" xfId="11370" xr:uid="{8FBA67D2-28C4-450E-8A8B-294ED3B8AC17}"/>
    <cellStyle name="40% - Accent4 2 2 2 2 3" xfId="4993" xr:uid="{00000000-0005-0000-0000-0000A8050000}"/>
    <cellStyle name="40% - Accent4 2 2 2 2 3 2" xfId="13440" xr:uid="{8FE009BB-7F5C-44E3-ADDA-36147240DBAA}"/>
    <cellStyle name="40% - Accent4 2 2 2 2 4" xfId="9225" xr:uid="{FCD7D05C-7789-4370-B6F4-8A8EF1613EDE}"/>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5998" xr:uid="{DF187B03-1BD8-4241-801D-517B6D0ACAA0}"/>
    <cellStyle name="40% - Accent4 2 2 2 3 2 3" xfId="11783" xr:uid="{360B2A34-FB22-4B27-B7A2-DF5F04B88CD9}"/>
    <cellStyle name="40% - Accent4 2 2 2 3 3" xfId="5406" xr:uid="{00000000-0005-0000-0000-0000AC050000}"/>
    <cellStyle name="40% - Accent4 2 2 2 3 3 2" xfId="13853" xr:uid="{9C3410B3-13C8-4EE1-89B9-B5819116EA0B}"/>
    <cellStyle name="40% - Accent4 2 2 2 3 4" xfId="9638" xr:uid="{9CFDF2A4-3D84-4746-8C92-FFDC34470608}"/>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1" xr:uid="{26398D52-A024-4CFD-9C43-E8548122F0C8}"/>
    <cellStyle name="40% - Accent4 2 2 2 4 2 3" xfId="12196" xr:uid="{8FF39946-B2F5-46EC-A524-E6DC9CA9FAFB}"/>
    <cellStyle name="40% - Accent4 2 2 2 4 3" xfId="5819" xr:uid="{00000000-0005-0000-0000-0000B0050000}"/>
    <cellStyle name="40% - Accent4 2 2 2 4 3 2" xfId="14266" xr:uid="{4D325413-55AF-4AD5-A5D3-4E62C5AFDCC7}"/>
    <cellStyle name="40% - Accent4 2 2 2 4 4" xfId="10051" xr:uid="{88C321C7-08AA-4359-9039-23EBD71B5179}"/>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4" xr:uid="{10C2F849-F936-46FD-92F5-B124326F4E52}"/>
    <cellStyle name="40% - Accent4 2 2 2 5 2 3" xfId="12609" xr:uid="{BCE31710-C7E8-4192-8BD8-7F01BC0CB83F}"/>
    <cellStyle name="40% - Accent4 2 2 2 5 3" xfId="6232" xr:uid="{00000000-0005-0000-0000-0000B4050000}"/>
    <cellStyle name="40% - Accent4 2 2 2 5 3 2" xfId="14679" xr:uid="{262223C7-745A-4F94-A063-D99159129F49}"/>
    <cellStyle name="40% - Accent4 2 2 2 5 4" xfId="10464" xr:uid="{87BA210C-5B49-4453-95DE-BDBE18865995}"/>
    <cellStyle name="40% - Accent4 2 2 2 6" xfId="2339" xr:uid="{00000000-0005-0000-0000-0000B5050000}"/>
    <cellStyle name="40% - Accent4 2 2 2 6 2" xfId="6645" xr:uid="{00000000-0005-0000-0000-0000B6050000}"/>
    <cellStyle name="40% - Accent4 2 2 2 6 2 2" xfId="15092" xr:uid="{42E8D1C4-0611-4C0C-B078-36327AF96ACF}"/>
    <cellStyle name="40% - Accent4 2 2 2 6 3" xfId="10877" xr:uid="{37CE1585-106C-4AB6-AFAE-70928E6C302C}"/>
    <cellStyle name="40% - Accent4 2 2 2 7" xfId="4579" xr:uid="{00000000-0005-0000-0000-0000B7050000}"/>
    <cellStyle name="40% - Accent4 2 2 2 7 2" xfId="13026" xr:uid="{77B40A27-78DA-4F8A-9B55-4CE8BCD24F6A}"/>
    <cellStyle name="40% - Accent4 2 2 2 8" xfId="8811" xr:uid="{4C020CC2-6167-4FDF-BBD6-7906DE2D594C}"/>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4" xr:uid="{81700078-2CFA-4A4A-A49D-4C1060A2FC5A}"/>
    <cellStyle name="40% - Accent4 2 2 3 2 3" xfId="11369" xr:uid="{33D720B0-F346-41B3-84CF-2F808455EF8C}"/>
    <cellStyle name="40% - Accent4 2 2 3 3" xfId="4992" xr:uid="{00000000-0005-0000-0000-0000BB050000}"/>
    <cellStyle name="40% - Accent4 2 2 3 3 2" xfId="13439" xr:uid="{7B8365C5-EA10-4CBF-BAE5-5695DDDCF814}"/>
    <cellStyle name="40% - Accent4 2 2 3 4" xfId="9224" xr:uid="{91FC5B88-924E-4E9C-BBBB-30A1D1B77F9C}"/>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5997" xr:uid="{48884E71-94E9-4E46-A55E-267FA0D91979}"/>
    <cellStyle name="40% - Accent4 2 2 4 2 3" xfId="11782" xr:uid="{24685393-D436-47D5-B3D5-1C8F2C4F2E8C}"/>
    <cellStyle name="40% - Accent4 2 2 4 3" xfId="5405" xr:uid="{00000000-0005-0000-0000-0000BF050000}"/>
    <cellStyle name="40% - Accent4 2 2 4 3 2" xfId="13852" xr:uid="{01E273B2-7009-4E28-BD9E-6B1363769D97}"/>
    <cellStyle name="40% - Accent4 2 2 4 4" xfId="9637" xr:uid="{17DFF3F1-A129-48D9-A1A5-19348E2621C6}"/>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0" xr:uid="{A22095B7-A49D-423C-BCAD-5719D022D1B0}"/>
    <cellStyle name="40% - Accent4 2 2 5 2 3" xfId="12195" xr:uid="{5758BAE6-58BD-4385-B894-FA599327C789}"/>
    <cellStyle name="40% - Accent4 2 2 5 3" xfId="5818" xr:uid="{00000000-0005-0000-0000-0000C3050000}"/>
    <cellStyle name="40% - Accent4 2 2 5 3 2" xfId="14265" xr:uid="{137E721B-124B-42F7-AF4B-09AC0142979C}"/>
    <cellStyle name="40% - Accent4 2 2 5 4" xfId="10050" xr:uid="{4DEBA044-A263-4F71-82F3-42487D9446B3}"/>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3" xr:uid="{D4890D97-40EF-4D6C-8C27-30B93E1FD04D}"/>
    <cellStyle name="40% - Accent4 2 2 6 2 3" xfId="12608" xr:uid="{B0628E20-1085-4977-A6C0-398D8AFE8B97}"/>
    <cellStyle name="40% - Accent4 2 2 6 3" xfId="6231" xr:uid="{00000000-0005-0000-0000-0000C7050000}"/>
    <cellStyle name="40% - Accent4 2 2 6 3 2" xfId="14678" xr:uid="{901E69F9-3E10-4001-BAEA-E453BC2DF954}"/>
    <cellStyle name="40% - Accent4 2 2 6 4" xfId="10463" xr:uid="{D240A913-1B1C-40AD-BF38-E942C7E5E4AF}"/>
    <cellStyle name="40% - Accent4 2 2 7" xfId="2338" xr:uid="{00000000-0005-0000-0000-0000C8050000}"/>
    <cellStyle name="40% - Accent4 2 2 7 2" xfId="6644" xr:uid="{00000000-0005-0000-0000-0000C9050000}"/>
    <cellStyle name="40% - Accent4 2 2 7 2 2" xfId="15091" xr:uid="{0B10A8AB-921D-4137-9D01-F9BF2B4059FF}"/>
    <cellStyle name="40% - Accent4 2 2 7 3" xfId="10876" xr:uid="{2EA8A138-ECFE-4E07-BF30-232D4D433EB3}"/>
    <cellStyle name="40% - Accent4 2 2 8" xfId="4578" xr:uid="{00000000-0005-0000-0000-0000CA050000}"/>
    <cellStyle name="40% - Accent4 2 2 8 2" xfId="13025" xr:uid="{46027DCE-96BF-4F0E-8F6A-9BC9F9DD7809}"/>
    <cellStyle name="40% - Accent4 2 2 9" xfId="8810" xr:uid="{3E22FAF2-9F07-458A-905D-42C3E874CEDE}"/>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6" xr:uid="{3B185FE6-D6E2-4C86-9424-49A313C3EC9A}"/>
    <cellStyle name="40% - Accent4 2 3 2 2 3" xfId="11371" xr:uid="{E305500A-9ADD-463B-968C-4632F8F5DC80}"/>
    <cellStyle name="40% - Accent4 2 3 2 3" xfId="4994" xr:uid="{00000000-0005-0000-0000-0000CF050000}"/>
    <cellStyle name="40% - Accent4 2 3 2 3 2" xfId="13441" xr:uid="{D22B39DD-E013-49FE-8ADF-8975AB91D75F}"/>
    <cellStyle name="40% - Accent4 2 3 2 4" xfId="9226" xr:uid="{C16820FE-B72F-4A63-BA1F-3F49D1BD4C00}"/>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5999" xr:uid="{0471325C-E93F-4A9D-A3D3-851ABC371E92}"/>
    <cellStyle name="40% - Accent4 2 3 3 2 3" xfId="11784" xr:uid="{271D0362-A992-4470-95F6-0C898BFA0B3A}"/>
    <cellStyle name="40% - Accent4 2 3 3 3" xfId="5407" xr:uid="{00000000-0005-0000-0000-0000D3050000}"/>
    <cellStyle name="40% - Accent4 2 3 3 3 2" xfId="13854" xr:uid="{CF5FA8E3-02E0-41F7-866B-03010A89E11C}"/>
    <cellStyle name="40% - Accent4 2 3 3 4" xfId="9639" xr:uid="{976B517C-4178-4FAF-9B6C-DCA8C8DE68ED}"/>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2" xr:uid="{2E3A5B78-6F80-4BBD-9CFB-478E39EF7E54}"/>
    <cellStyle name="40% - Accent4 2 3 4 2 3" xfId="12197" xr:uid="{53F46F62-9D4F-470F-BD6E-5597D1AF31DC}"/>
    <cellStyle name="40% - Accent4 2 3 4 3" xfId="5820" xr:uid="{00000000-0005-0000-0000-0000D7050000}"/>
    <cellStyle name="40% - Accent4 2 3 4 3 2" xfId="14267" xr:uid="{6FBCE9EC-2E6C-469F-8B93-8A8B536F2414}"/>
    <cellStyle name="40% - Accent4 2 3 4 4" xfId="10052" xr:uid="{8358470D-EEDC-4CFB-BEB1-42BEFB50B480}"/>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5" xr:uid="{56F7BDCE-E2A5-4D97-A675-591DC4D1C80E}"/>
    <cellStyle name="40% - Accent4 2 3 5 2 3" xfId="12610" xr:uid="{F34B518D-33A0-4D23-9ECA-6BC9E2003D2B}"/>
    <cellStyle name="40% - Accent4 2 3 5 3" xfId="6233" xr:uid="{00000000-0005-0000-0000-0000DB050000}"/>
    <cellStyle name="40% - Accent4 2 3 5 3 2" xfId="14680" xr:uid="{373CE353-2BB4-4DEB-8DEC-09F774394542}"/>
    <cellStyle name="40% - Accent4 2 3 5 4" xfId="10465" xr:uid="{3FD3B6E3-9DD0-453A-9F2E-0E8B52EC3A44}"/>
    <cellStyle name="40% - Accent4 2 3 6" xfId="2340" xr:uid="{00000000-0005-0000-0000-0000DC050000}"/>
    <cellStyle name="40% - Accent4 2 3 6 2" xfId="6646" xr:uid="{00000000-0005-0000-0000-0000DD050000}"/>
    <cellStyle name="40% - Accent4 2 3 6 2 2" xfId="15093" xr:uid="{3F771EC5-6E6D-418A-815E-3C6BA21DE890}"/>
    <cellStyle name="40% - Accent4 2 3 6 3" xfId="10878" xr:uid="{1791B3C2-8D98-4936-A483-638629D19991}"/>
    <cellStyle name="40% - Accent4 2 3 7" xfId="4580" xr:uid="{00000000-0005-0000-0000-0000DE050000}"/>
    <cellStyle name="40% - Accent4 2 3 7 2" xfId="13027" xr:uid="{F1695B4B-C20D-4C79-849C-EE7D110EEA48}"/>
    <cellStyle name="40% - Accent4 2 3 8" xfId="8812" xr:uid="{69CEABA7-FD8B-413E-925F-6D163AD1AF6B}"/>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3" xr:uid="{28DFE1F0-79AF-40ED-8BDA-E420C705BE1A}"/>
    <cellStyle name="40% - Accent4 2 4 2 3" xfId="11368" xr:uid="{D62602A8-99A1-4467-8004-41CD10853287}"/>
    <cellStyle name="40% - Accent4 2 4 3" xfId="4991" xr:uid="{00000000-0005-0000-0000-0000E2050000}"/>
    <cellStyle name="40% - Accent4 2 4 3 2" xfId="13438" xr:uid="{CDF68944-F300-4033-B525-A17B054E40FA}"/>
    <cellStyle name="40% - Accent4 2 4 4" xfId="9223" xr:uid="{FF27825C-F43D-44B3-9984-1C4F95A2E9CC}"/>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6" xr:uid="{CAB3485B-2207-47E1-9825-EC8127A3C943}"/>
    <cellStyle name="40% - Accent4 2 5 2 3" xfId="11781" xr:uid="{63F9BADE-9B52-48FB-BE61-87FF29E2A419}"/>
    <cellStyle name="40% - Accent4 2 5 3" xfId="5404" xr:uid="{00000000-0005-0000-0000-0000E6050000}"/>
    <cellStyle name="40% - Accent4 2 5 3 2" xfId="13851" xr:uid="{7B033C69-E25D-430D-94CA-9461DA1044CF}"/>
    <cellStyle name="40% - Accent4 2 5 4" xfId="9636" xr:uid="{1C46E666-C1B3-42F8-BE6C-160B2ABFEF3F}"/>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09" xr:uid="{A60FCACA-80B9-4FF4-99C3-ECE69B92F19F}"/>
    <cellStyle name="40% - Accent4 2 6 2 3" xfId="12194" xr:uid="{0B6AE3B6-0832-4355-A7E3-31E4A45BFD65}"/>
    <cellStyle name="40% - Accent4 2 6 3" xfId="5817" xr:uid="{00000000-0005-0000-0000-0000EA050000}"/>
    <cellStyle name="40% - Accent4 2 6 3 2" xfId="14264" xr:uid="{10C10DFA-947D-4D9A-BCBB-C226A92FCE47}"/>
    <cellStyle name="40% - Accent4 2 6 4" xfId="10049" xr:uid="{2E7C5480-F2B6-4CAF-876E-BAC2479B7F78}"/>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2" xr:uid="{42456C94-C31B-4C78-8F9C-4B0D3F4B2900}"/>
    <cellStyle name="40% - Accent4 2 7 2 3" xfId="12607" xr:uid="{1AACC2F4-8997-4053-9D5B-EDF93BA3F23F}"/>
    <cellStyle name="40% - Accent4 2 7 3" xfId="6230" xr:uid="{00000000-0005-0000-0000-0000EE050000}"/>
    <cellStyle name="40% - Accent4 2 7 3 2" xfId="14677" xr:uid="{05C472FE-9F7E-4852-9F86-1BA29D1E4601}"/>
    <cellStyle name="40% - Accent4 2 7 4" xfId="10462" xr:uid="{23798DB8-4560-4F6B-A8C1-F27F78E02CDB}"/>
    <cellStyle name="40% - Accent4 2 8" xfId="2337" xr:uid="{00000000-0005-0000-0000-0000EF050000}"/>
    <cellStyle name="40% - Accent4 2 8 2" xfId="6643" xr:uid="{00000000-0005-0000-0000-0000F0050000}"/>
    <cellStyle name="40% - Accent4 2 8 2 2" xfId="15090" xr:uid="{F41A2B93-9362-41E8-9009-E7BB56385FB1}"/>
    <cellStyle name="40% - Accent4 2 8 3" xfId="10875" xr:uid="{D83710A4-89DC-4298-B8CF-6EDD64CD973D}"/>
    <cellStyle name="40% - Accent4 2 9" xfId="4577" xr:uid="{00000000-0005-0000-0000-0000F1050000}"/>
    <cellStyle name="40% - Accent4 2 9 2" xfId="13024" xr:uid="{C347FF46-6E91-45F3-991F-35CF6097ACD3}"/>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88" xr:uid="{0D82F8C1-F9A4-43E4-8C27-5890AEECDB00}"/>
    <cellStyle name="40% - Accent4 3 2 2 2 3" xfId="11373" xr:uid="{14415C24-A73D-414A-B1FD-13044B211905}"/>
    <cellStyle name="40% - Accent4 3 2 2 3" xfId="4996" xr:uid="{00000000-0005-0000-0000-0000F7050000}"/>
    <cellStyle name="40% - Accent4 3 2 2 3 2" xfId="13443" xr:uid="{BB2A299E-E218-4BF4-B0AD-3A89C3BC6229}"/>
    <cellStyle name="40% - Accent4 3 2 2 4" xfId="9228" xr:uid="{456F6422-5B6C-486A-8CA4-F55FAC3A8846}"/>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1" xr:uid="{A5186A27-A187-4965-8B91-8D6C815A602D}"/>
    <cellStyle name="40% - Accent4 3 2 3 2 3" xfId="11786" xr:uid="{419D4786-888E-464B-B687-3FF54D4153CF}"/>
    <cellStyle name="40% - Accent4 3 2 3 3" xfId="5409" xr:uid="{00000000-0005-0000-0000-0000FB050000}"/>
    <cellStyle name="40% - Accent4 3 2 3 3 2" xfId="13856" xr:uid="{957AD9DF-61EF-4F86-97B8-58050E0CC236}"/>
    <cellStyle name="40% - Accent4 3 2 3 4" xfId="9641" xr:uid="{4381C142-DC49-4873-BC96-0016DC4B7274}"/>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4" xr:uid="{B8A0D81F-A5D9-4E4A-94E0-644002610B5C}"/>
    <cellStyle name="40% - Accent4 3 2 4 2 3" xfId="12199" xr:uid="{88BBF50E-6C85-4001-A488-FB6A69AB808B}"/>
    <cellStyle name="40% - Accent4 3 2 4 3" xfId="5822" xr:uid="{00000000-0005-0000-0000-0000FF050000}"/>
    <cellStyle name="40% - Accent4 3 2 4 3 2" xfId="14269" xr:uid="{5C2FDE2E-C677-40FE-9EEA-826E8885A273}"/>
    <cellStyle name="40% - Accent4 3 2 4 4" xfId="10054" xr:uid="{C35748B4-FABF-4FB9-AEAB-E88B1FA34465}"/>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27" xr:uid="{EFA2AF8A-4192-426D-9469-9AD26EA3685A}"/>
    <cellStyle name="40% - Accent4 3 2 5 2 3" xfId="12612" xr:uid="{37D82FB2-F649-4981-99F0-06725E534C0E}"/>
    <cellStyle name="40% - Accent4 3 2 5 3" xfId="6235" xr:uid="{00000000-0005-0000-0000-000003060000}"/>
    <cellStyle name="40% - Accent4 3 2 5 3 2" xfId="14682" xr:uid="{9335FA3B-0647-4E19-963C-534516FADA08}"/>
    <cellStyle name="40% - Accent4 3 2 5 4" xfId="10467" xr:uid="{B9924C78-F0C8-4566-825B-70CB4209C008}"/>
    <cellStyle name="40% - Accent4 3 2 6" xfId="2342" xr:uid="{00000000-0005-0000-0000-000004060000}"/>
    <cellStyle name="40% - Accent4 3 2 6 2" xfId="6648" xr:uid="{00000000-0005-0000-0000-000005060000}"/>
    <cellStyle name="40% - Accent4 3 2 6 2 2" xfId="15095" xr:uid="{1F79102C-D309-4FDC-90F9-3855AB310D73}"/>
    <cellStyle name="40% - Accent4 3 2 6 3" xfId="10880" xr:uid="{D8BCC00C-2D39-4948-BA48-26D79988E06B}"/>
    <cellStyle name="40% - Accent4 3 2 7" xfId="4582" xr:uid="{00000000-0005-0000-0000-000006060000}"/>
    <cellStyle name="40% - Accent4 3 2 7 2" xfId="13029" xr:uid="{D2C42DE4-0171-4580-844B-2A91BBCC04B4}"/>
    <cellStyle name="40% - Accent4 3 2 8" xfId="8814" xr:uid="{A5B9EB80-147A-4DFC-834C-FAB54631560E}"/>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87" xr:uid="{A137DD5B-2C76-43E8-B6C9-76CE6D3CE9FB}"/>
    <cellStyle name="40% - Accent4 3 3 2 3" xfId="11372" xr:uid="{ECD1DA05-2ADC-4038-BEDB-D17E9FABB8C0}"/>
    <cellStyle name="40% - Accent4 3 3 3" xfId="4995" xr:uid="{00000000-0005-0000-0000-00000A060000}"/>
    <cellStyle name="40% - Accent4 3 3 3 2" xfId="13442" xr:uid="{1A527DD2-8704-4616-99E4-2C9C40C0D5CD}"/>
    <cellStyle name="40% - Accent4 3 3 4" xfId="9227" xr:uid="{DD3878AF-260E-4E13-B497-649D4E00111C}"/>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0" xr:uid="{7AC74828-1455-48D7-A0A1-4660BD6B546C}"/>
    <cellStyle name="40% - Accent4 3 4 2 3" xfId="11785" xr:uid="{3254A277-3331-4DD2-8982-20E39F2C23AA}"/>
    <cellStyle name="40% - Accent4 3 4 3" xfId="5408" xr:uid="{00000000-0005-0000-0000-00000E060000}"/>
    <cellStyle name="40% - Accent4 3 4 3 2" xfId="13855" xr:uid="{E35B1F5C-A2F4-466D-B0C9-1E57A4D9A6D5}"/>
    <cellStyle name="40% - Accent4 3 4 4" xfId="9640" xr:uid="{6D700812-00D4-4EDE-A594-23194E4CAF99}"/>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3" xr:uid="{1B23C165-E804-4069-A38B-DD2843F15FFE}"/>
    <cellStyle name="40% - Accent4 3 5 2 3" xfId="12198" xr:uid="{6F7807DA-BDD3-4C47-B27B-8D168196ABAB}"/>
    <cellStyle name="40% - Accent4 3 5 3" xfId="5821" xr:uid="{00000000-0005-0000-0000-000012060000}"/>
    <cellStyle name="40% - Accent4 3 5 3 2" xfId="14268" xr:uid="{EB9896D0-9CAF-4A5C-B7B5-8B52439DEDEF}"/>
    <cellStyle name="40% - Accent4 3 5 4" xfId="10053" xr:uid="{18EC2A33-ACFF-429B-88A5-B1067865A22D}"/>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6" xr:uid="{4845D408-839B-4105-95A8-C1CA18172103}"/>
    <cellStyle name="40% - Accent4 3 6 2 3" xfId="12611" xr:uid="{61B266B8-DD28-494E-9423-E12E7E2822A1}"/>
    <cellStyle name="40% - Accent4 3 6 3" xfId="6234" xr:uid="{00000000-0005-0000-0000-000016060000}"/>
    <cellStyle name="40% - Accent4 3 6 3 2" xfId="14681" xr:uid="{1F798FC3-2113-42BA-8FB9-53E5BD11ADC4}"/>
    <cellStyle name="40% - Accent4 3 6 4" xfId="10466" xr:uid="{BD9E6CDB-4CAA-4DE8-AD3F-3ADFEA16F3A3}"/>
    <cellStyle name="40% - Accent4 3 7" xfId="2341" xr:uid="{00000000-0005-0000-0000-000017060000}"/>
    <cellStyle name="40% - Accent4 3 7 2" xfId="6647" xr:uid="{00000000-0005-0000-0000-000018060000}"/>
    <cellStyle name="40% - Accent4 3 7 2 2" xfId="15094" xr:uid="{2817CBD7-E3D2-43BF-8814-E7EE5AF959D6}"/>
    <cellStyle name="40% - Accent4 3 7 3" xfId="10879" xr:uid="{BAE7CAC4-549F-4F8A-8392-158BEDE67574}"/>
    <cellStyle name="40% - Accent4 3 8" xfId="4581" xr:uid="{00000000-0005-0000-0000-000019060000}"/>
    <cellStyle name="40% - Accent4 3 8 2" xfId="13028" xr:uid="{96ADF014-56AB-46DE-BC57-6C9890C8D7D3}"/>
    <cellStyle name="40% - Accent4 3 9" xfId="8813" xr:uid="{ADA64A36-4FDB-4A12-B885-931B71F8265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89" xr:uid="{91711756-C602-431F-8822-BA82E6549EB7}"/>
    <cellStyle name="40% - Accent4 4 2 2 3" xfId="11374" xr:uid="{71AF6C17-75A7-4FE7-84C0-D33DB5519FE7}"/>
    <cellStyle name="40% - Accent4 4 2 3" xfId="4997" xr:uid="{00000000-0005-0000-0000-00001E060000}"/>
    <cellStyle name="40% - Accent4 4 2 3 2" xfId="13444" xr:uid="{9231F152-5BAB-4B3A-84B2-F1AA74A83A18}"/>
    <cellStyle name="40% - Accent4 4 2 4" xfId="9229" xr:uid="{8DE2C6B8-7D37-4F13-B4F7-896F0E66C7D7}"/>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2" xr:uid="{FCE0A6E8-A831-4D4B-94EC-B6DCD8247BC3}"/>
    <cellStyle name="40% - Accent4 4 3 2 3" xfId="11787" xr:uid="{EA0A794F-BDB6-40D7-8C0A-38ACE60371A8}"/>
    <cellStyle name="40% - Accent4 4 3 3" xfId="5410" xr:uid="{00000000-0005-0000-0000-000022060000}"/>
    <cellStyle name="40% - Accent4 4 3 3 2" xfId="13857" xr:uid="{87EE97E3-F604-4730-80DE-6B75940430C7}"/>
    <cellStyle name="40% - Accent4 4 3 4" xfId="9642" xr:uid="{ED947126-F8D1-4626-9579-F32FAEAF8510}"/>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5" xr:uid="{68817333-7E59-42B7-8F77-A3422CA75844}"/>
    <cellStyle name="40% - Accent4 4 4 2 3" xfId="12200" xr:uid="{0E8EA5DA-AD57-43EF-8697-5718E825BD24}"/>
    <cellStyle name="40% - Accent4 4 4 3" xfId="5823" xr:uid="{00000000-0005-0000-0000-000026060000}"/>
    <cellStyle name="40% - Accent4 4 4 3 2" xfId="14270" xr:uid="{EBD45CFA-FBC3-49EE-90DD-25B71D5AE07B}"/>
    <cellStyle name="40% - Accent4 4 4 4" xfId="10055" xr:uid="{A24CDB54-521D-4E6E-BB1D-F5DF98ED96EB}"/>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28" xr:uid="{9349F93A-12A0-44EC-9EDE-CDBDFE6083A2}"/>
    <cellStyle name="40% - Accent4 4 5 2 3" xfId="12613" xr:uid="{E7D62851-D36B-42F7-A291-182BD54DDE49}"/>
    <cellStyle name="40% - Accent4 4 5 3" xfId="6236" xr:uid="{00000000-0005-0000-0000-00002A060000}"/>
    <cellStyle name="40% - Accent4 4 5 3 2" xfId="14683" xr:uid="{C8790519-C933-4880-B035-454144604A53}"/>
    <cellStyle name="40% - Accent4 4 5 4" xfId="10468" xr:uid="{7EDDFFBF-2BA1-469D-84D5-A4F7E8F532B5}"/>
    <cellStyle name="40% - Accent4 4 6" xfId="2343" xr:uid="{00000000-0005-0000-0000-00002B060000}"/>
    <cellStyle name="40% - Accent4 4 6 2" xfId="6649" xr:uid="{00000000-0005-0000-0000-00002C060000}"/>
    <cellStyle name="40% - Accent4 4 6 2 2" xfId="15096" xr:uid="{FEA04933-06AF-40BC-BC06-D2A2338CC96D}"/>
    <cellStyle name="40% - Accent4 4 6 3" xfId="10881" xr:uid="{CCB2CB34-6E25-4AA1-997F-5DC3EFD21191}"/>
    <cellStyle name="40% - Accent4 4 7" xfId="4583" xr:uid="{00000000-0005-0000-0000-00002D060000}"/>
    <cellStyle name="40% - Accent4 4 7 2" xfId="13030" xr:uid="{FFD9B4EB-6C1A-490B-BE8C-22D2B94674CC}"/>
    <cellStyle name="40% - Accent4 4 8" xfId="8815" xr:uid="{9297CCE6-D394-4D41-A5C7-E1338C1A450A}"/>
    <cellStyle name="40% - Accent4 5" xfId="642" xr:uid="{00000000-0005-0000-0000-00002E060000}"/>
    <cellStyle name="40% - Accent4 5 2" xfId="2913" xr:uid="{00000000-0005-0000-0000-00002F060000}"/>
    <cellStyle name="40% - Accent4 5 2 2" xfId="7135" xr:uid="{00000000-0005-0000-0000-000030060000}"/>
    <cellStyle name="40% - Accent4 5 2 2 2" xfId="15582" xr:uid="{32677BB2-84FC-47DD-B704-526564B3824D}"/>
    <cellStyle name="40% - Accent4 5 2 3" xfId="11367" xr:uid="{B10EC492-5265-4034-9826-96C83159CCE7}"/>
    <cellStyle name="40% - Accent4 5 3" xfId="4990" xr:uid="{00000000-0005-0000-0000-000031060000}"/>
    <cellStyle name="40% - Accent4 5 3 2" xfId="13437" xr:uid="{622362EB-A806-4B7C-B689-696589A135F8}"/>
    <cellStyle name="40% - Accent4 5 4" xfId="9222" xr:uid="{19360BDF-9DF3-43A7-900E-6D628B892365}"/>
    <cellStyle name="40% - Accent4 6" xfId="1095" xr:uid="{00000000-0005-0000-0000-000032060000}"/>
    <cellStyle name="40% - Accent4 6 2" xfId="3326" xr:uid="{00000000-0005-0000-0000-000033060000}"/>
    <cellStyle name="40% - Accent4 6 2 2" xfId="7548" xr:uid="{00000000-0005-0000-0000-000034060000}"/>
    <cellStyle name="40% - Accent4 6 2 2 2" xfId="15995" xr:uid="{F09F7A61-5C0A-4DB8-A2F9-1B43E2C3A5E2}"/>
    <cellStyle name="40% - Accent4 6 2 3" xfId="11780" xr:uid="{C6076371-F96D-45BF-B9D8-C5DE4E5F0531}"/>
    <cellStyle name="40% - Accent4 6 3" xfId="5403" xr:uid="{00000000-0005-0000-0000-000035060000}"/>
    <cellStyle name="40% - Accent4 6 3 2" xfId="13850" xr:uid="{A98D2EF0-09CB-4254-AF25-93C5B86BAF9D}"/>
    <cellStyle name="40% - Accent4 6 4" xfId="9635" xr:uid="{61036D5A-9609-436E-8991-FA8E78B27CE6}"/>
    <cellStyle name="40% - Accent4 7" xfId="1509" xr:uid="{00000000-0005-0000-0000-000036060000}"/>
    <cellStyle name="40% - Accent4 7 2" xfId="3739" xr:uid="{00000000-0005-0000-0000-000037060000}"/>
    <cellStyle name="40% - Accent4 7 2 2" xfId="7961" xr:uid="{00000000-0005-0000-0000-000038060000}"/>
    <cellStyle name="40% - Accent4 7 2 2 2" xfId="16408" xr:uid="{60357400-1469-48F3-AD1C-84E3CCBC39B3}"/>
    <cellStyle name="40% - Accent4 7 2 3" xfId="12193" xr:uid="{392B5549-4774-4208-AB4C-307E01D6BC02}"/>
    <cellStyle name="40% - Accent4 7 3" xfId="5816" xr:uid="{00000000-0005-0000-0000-000039060000}"/>
    <cellStyle name="40% - Accent4 7 3 2" xfId="14263" xr:uid="{8225AEB3-050C-42A7-AF64-89F2C842FAAB}"/>
    <cellStyle name="40% - Accent4 7 4" xfId="10048" xr:uid="{CB3D914D-FECC-41AB-8D32-E7E27C1B3B86}"/>
    <cellStyle name="40% - Accent4 8" xfId="1923" xr:uid="{00000000-0005-0000-0000-00003A060000}"/>
    <cellStyle name="40% - Accent4 8 2" xfId="4152" xr:uid="{00000000-0005-0000-0000-00003B060000}"/>
    <cellStyle name="40% - Accent4 8 2 2" xfId="8374" xr:uid="{00000000-0005-0000-0000-00003C060000}"/>
    <cellStyle name="40% - Accent4 8 2 2 2" xfId="16821" xr:uid="{3AFCADA8-FA3C-4B3F-8E5D-8E68600B38FC}"/>
    <cellStyle name="40% - Accent4 8 2 3" xfId="12606" xr:uid="{D9450C03-170A-41BB-9FAE-9A39FE64FB0C}"/>
    <cellStyle name="40% - Accent4 8 3" xfId="6229" xr:uid="{00000000-0005-0000-0000-00003D060000}"/>
    <cellStyle name="40% - Accent4 8 3 2" xfId="14676" xr:uid="{F78F4A30-B9E5-4371-B536-FBCBD94DDECA}"/>
    <cellStyle name="40% - Accent4 8 4" xfId="10461" xr:uid="{B0ED4E6E-47E1-40A5-89B7-72A4309D3FE3}"/>
    <cellStyle name="40% - Accent4 9" xfId="2336" xr:uid="{00000000-0005-0000-0000-00003E060000}"/>
    <cellStyle name="40% - Accent4 9 2" xfId="6642" xr:uid="{00000000-0005-0000-0000-00003F060000}"/>
    <cellStyle name="40% - Accent4 9 2 2" xfId="15089" xr:uid="{C800F335-C6F1-4A66-9B56-A19F4C7363CA}"/>
    <cellStyle name="40% - Accent4 9 3" xfId="10874" xr:uid="{450AF04F-9DE2-4446-A443-B950EAFFA6CA}"/>
    <cellStyle name="40% - Accent5" xfId="81" builtinId="47" customBuiltin="1"/>
    <cellStyle name="40% - Accent5 10" xfId="4584" xr:uid="{00000000-0005-0000-0000-000041060000}"/>
    <cellStyle name="40% - Accent5 10 2" xfId="13031" xr:uid="{38C61FC5-8298-4235-9B78-E47F50D90CDC}"/>
    <cellStyle name="40% - Accent5 11" xfId="8816" xr:uid="{90CB83E9-6694-43FD-961C-B09446D31B2A}"/>
    <cellStyle name="40% - Accent5 2" xfId="82" xr:uid="{00000000-0005-0000-0000-000042060000}"/>
    <cellStyle name="40% - Accent5 2 10" xfId="8817" xr:uid="{81BCABFD-2A3D-40F6-B846-AD35FB50CD7C}"/>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3" xr:uid="{FEDCBDE6-3051-4294-87CD-D79FE1D69A97}"/>
    <cellStyle name="40% - Accent5 2 2 2 2 2 3" xfId="11378" xr:uid="{EBA01DA4-C93B-4948-9600-41940CECC027}"/>
    <cellStyle name="40% - Accent5 2 2 2 2 3" xfId="5001" xr:uid="{00000000-0005-0000-0000-000048060000}"/>
    <cellStyle name="40% - Accent5 2 2 2 2 3 2" xfId="13448" xr:uid="{C5F0EF3B-73EA-4FE2-BAFA-E40D29FFE781}"/>
    <cellStyle name="40% - Accent5 2 2 2 2 4" xfId="9233" xr:uid="{F4B4A735-08CD-44FD-91BE-AEECC5F3A21B}"/>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6" xr:uid="{F3E4910A-FC8B-4E8D-8848-DD8C5D4F916B}"/>
    <cellStyle name="40% - Accent5 2 2 2 3 2 3" xfId="11791" xr:uid="{E37C860A-2A71-49C9-A968-8FBFC3C7810C}"/>
    <cellStyle name="40% - Accent5 2 2 2 3 3" xfId="5414" xr:uid="{00000000-0005-0000-0000-00004C060000}"/>
    <cellStyle name="40% - Accent5 2 2 2 3 3 2" xfId="13861" xr:uid="{71A24A8A-303D-4557-97BC-F3E889A30648}"/>
    <cellStyle name="40% - Accent5 2 2 2 3 4" xfId="9646" xr:uid="{6365DAF3-7E3B-4A13-A519-7D08325FE229}"/>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19" xr:uid="{19860E19-576C-4B49-8AE5-1F9BEA834213}"/>
    <cellStyle name="40% - Accent5 2 2 2 4 2 3" xfId="12204" xr:uid="{D0630B8A-B21E-41AD-9093-F17C49860F54}"/>
    <cellStyle name="40% - Accent5 2 2 2 4 3" xfId="5827" xr:uid="{00000000-0005-0000-0000-000050060000}"/>
    <cellStyle name="40% - Accent5 2 2 2 4 3 2" xfId="14274" xr:uid="{B3EC64FB-B018-45F9-B52B-38996682A9C0}"/>
    <cellStyle name="40% - Accent5 2 2 2 4 4" xfId="10059" xr:uid="{770DF726-8A00-4D33-AD99-82DB91D51AB6}"/>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2" xr:uid="{03080FF3-C266-4719-8A03-DE98EEC8CA20}"/>
    <cellStyle name="40% - Accent5 2 2 2 5 2 3" xfId="12617" xr:uid="{75CBD488-DBFC-42D0-86D1-D5AC048EB0AA}"/>
    <cellStyle name="40% - Accent5 2 2 2 5 3" xfId="6240" xr:uid="{00000000-0005-0000-0000-000054060000}"/>
    <cellStyle name="40% - Accent5 2 2 2 5 3 2" xfId="14687" xr:uid="{4B86ABCD-F85C-4261-AB4D-6B8A6F4254F9}"/>
    <cellStyle name="40% - Accent5 2 2 2 5 4" xfId="10472" xr:uid="{B8F2605E-BB54-47F6-9099-74AF19038E0B}"/>
    <cellStyle name="40% - Accent5 2 2 2 6" xfId="2347" xr:uid="{00000000-0005-0000-0000-000055060000}"/>
    <cellStyle name="40% - Accent5 2 2 2 6 2" xfId="6653" xr:uid="{00000000-0005-0000-0000-000056060000}"/>
    <cellStyle name="40% - Accent5 2 2 2 6 2 2" xfId="15100" xr:uid="{36E08903-9D68-4C28-85B2-D18DFDEDB0C0}"/>
    <cellStyle name="40% - Accent5 2 2 2 6 3" xfId="10885" xr:uid="{51190717-7B1E-4CD4-8453-C6C5952ED56A}"/>
    <cellStyle name="40% - Accent5 2 2 2 7" xfId="4587" xr:uid="{00000000-0005-0000-0000-000057060000}"/>
    <cellStyle name="40% - Accent5 2 2 2 7 2" xfId="13034" xr:uid="{598A68D3-AB18-4DB2-B068-6750294A5BA9}"/>
    <cellStyle name="40% - Accent5 2 2 2 8" xfId="8819" xr:uid="{7F2A8295-BD00-427C-B436-BD3CC0A2DFCF}"/>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2" xr:uid="{F61E36EE-7097-44B6-A2B2-27F75B829C8F}"/>
    <cellStyle name="40% - Accent5 2 2 3 2 3" xfId="11377" xr:uid="{1E8757FD-F91D-4AFD-8433-1BC11FEC4614}"/>
    <cellStyle name="40% - Accent5 2 2 3 3" xfId="5000" xr:uid="{00000000-0005-0000-0000-00005B060000}"/>
    <cellStyle name="40% - Accent5 2 2 3 3 2" xfId="13447" xr:uid="{A2681DB1-22AE-4315-A4FE-39C135A06C9E}"/>
    <cellStyle name="40% - Accent5 2 2 3 4" xfId="9232" xr:uid="{A1D212DE-B933-458E-8A3F-85F7E0400757}"/>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5" xr:uid="{0EA355EA-7564-49A9-AAC6-8310AA2FB1D4}"/>
    <cellStyle name="40% - Accent5 2 2 4 2 3" xfId="11790" xr:uid="{7DB262E7-A083-43FA-A78C-28C9BC03ED8D}"/>
    <cellStyle name="40% - Accent5 2 2 4 3" xfId="5413" xr:uid="{00000000-0005-0000-0000-00005F060000}"/>
    <cellStyle name="40% - Accent5 2 2 4 3 2" xfId="13860" xr:uid="{29B2007B-BB22-4419-B86F-C8C15F8079AA}"/>
    <cellStyle name="40% - Accent5 2 2 4 4" xfId="9645" xr:uid="{E2FBDDA3-1E09-4CA0-9041-0C20A97A6720}"/>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18" xr:uid="{4FCA7366-D4C9-448E-AE64-C266F7BD7551}"/>
    <cellStyle name="40% - Accent5 2 2 5 2 3" xfId="12203" xr:uid="{5FC35EB3-CC88-49F8-B4E1-E74CE99CE403}"/>
    <cellStyle name="40% - Accent5 2 2 5 3" xfId="5826" xr:uid="{00000000-0005-0000-0000-000063060000}"/>
    <cellStyle name="40% - Accent5 2 2 5 3 2" xfId="14273" xr:uid="{7E210BB2-6B54-4899-BF17-2471A9699985}"/>
    <cellStyle name="40% - Accent5 2 2 5 4" xfId="10058" xr:uid="{83152697-61CD-49BA-B1E9-519F793A2A82}"/>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1" xr:uid="{F02AB340-9D80-4855-B2F0-E3366E85BE79}"/>
    <cellStyle name="40% - Accent5 2 2 6 2 3" xfId="12616" xr:uid="{7E58AF31-BB60-4EF9-9CD3-B6B3F53F54B7}"/>
    <cellStyle name="40% - Accent5 2 2 6 3" xfId="6239" xr:uid="{00000000-0005-0000-0000-000067060000}"/>
    <cellStyle name="40% - Accent5 2 2 6 3 2" xfId="14686" xr:uid="{DC796B44-79AA-4F53-8B67-5E535BED0B91}"/>
    <cellStyle name="40% - Accent5 2 2 6 4" xfId="10471" xr:uid="{BA75B92D-E680-4B1D-A5FB-E68E66B845AC}"/>
    <cellStyle name="40% - Accent5 2 2 7" xfId="2346" xr:uid="{00000000-0005-0000-0000-000068060000}"/>
    <cellStyle name="40% - Accent5 2 2 7 2" xfId="6652" xr:uid="{00000000-0005-0000-0000-000069060000}"/>
    <cellStyle name="40% - Accent5 2 2 7 2 2" xfId="15099" xr:uid="{D66D20F9-ADE1-4E49-ACAD-0EB7686A3941}"/>
    <cellStyle name="40% - Accent5 2 2 7 3" xfId="10884" xr:uid="{E0B46F19-C2A8-4364-8C2B-0A415DA962DE}"/>
    <cellStyle name="40% - Accent5 2 2 8" xfId="4586" xr:uid="{00000000-0005-0000-0000-00006A060000}"/>
    <cellStyle name="40% - Accent5 2 2 8 2" xfId="13033" xr:uid="{29FCCC1B-F723-48F4-8A3A-0C8A8E675901}"/>
    <cellStyle name="40% - Accent5 2 2 9" xfId="8818" xr:uid="{346F494A-D3B2-4EBD-8EB2-D2E665C0AA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4" xr:uid="{893B3D79-CE93-4148-B81E-C1980EE13E35}"/>
    <cellStyle name="40% - Accent5 2 3 2 2 3" xfId="11379" xr:uid="{2414D7E0-29D5-452A-BF58-71D7794583C8}"/>
    <cellStyle name="40% - Accent5 2 3 2 3" xfId="5002" xr:uid="{00000000-0005-0000-0000-00006F060000}"/>
    <cellStyle name="40% - Accent5 2 3 2 3 2" xfId="13449" xr:uid="{0E4A32AE-0B0C-45C1-8AEA-EBEE527B7A5F}"/>
    <cellStyle name="40% - Accent5 2 3 2 4" xfId="9234" xr:uid="{02E9BE51-7163-4D9F-BED1-55918A9DAB16}"/>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07" xr:uid="{F40568B9-0167-4522-8CAA-3549BB6A57ED}"/>
    <cellStyle name="40% - Accent5 2 3 3 2 3" xfId="11792" xr:uid="{B2273BB5-F94A-429A-B0C6-BE8CEE9328DB}"/>
    <cellStyle name="40% - Accent5 2 3 3 3" xfId="5415" xr:uid="{00000000-0005-0000-0000-000073060000}"/>
    <cellStyle name="40% - Accent5 2 3 3 3 2" xfId="13862" xr:uid="{C43E3541-EBC7-4848-BB26-CF71031E5C5C}"/>
    <cellStyle name="40% - Accent5 2 3 3 4" xfId="9647" xr:uid="{E0D8C76A-7BFF-4B9D-8C7D-446D064A68A8}"/>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0" xr:uid="{17AA443C-1D69-4693-9CD9-121FF18DB90D}"/>
    <cellStyle name="40% - Accent5 2 3 4 2 3" xfId="12205" xr:uid="{E7E86570-17F4-4A07-BB85-2AB2BD26ECC9}"/>
    <cellStyle name="40% - Accent5 2 3 4 3" xfId="5828" xr:uid="{00000000-0005-0000-0000-000077060000}"/>
    <cellStyle name="40% - Accent5 2 3 4 3 2" xfId="14275" xr:uid="{84FA3D27-9334-42EC-B5E8-218CBA4116BA}"/>
    <cellStyle name="40% - Accent5 2 3 4 4" xfId="10060" xr:uid="{BC1DC897-00BA-4F2E-AC66-BBC57C7D2607}"/>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3" xr:uid="{A99F7979-4893-46B1-B946-37CA5EE5B291}"/>
    <cellStyle name="40% - Accent5 2 3 5 2 3" xfId="12618" xr:uid="{5BB68DC6-32B8-4717-8875-CA0FA3BFEE41}"/>
    <cellStyle name="40% - Accent5 2 3 5 3" xfId="6241" xr:uid="{00000000-0005-0000-0000-00007B060000}"/>
    <cellStyle name="40% - Accent5 2 3 5 3 2" xfId="14688" xr:uid="{84FEB05B-E82B-43A1-8B41-BEB679962E77}"/>
    <cellStyle name="40% - Accent5 2 3 5 4" xfId="10473" xr:uid="{334F4ECD-EC9A-4D6B-8631-5A71B6FCE764}"/>
    <cellStyle name="40% - Accent5 2 3 6" xfId="2348" xr:uid="{00000000-0005-0000-0000-00007C060000}"/>
    <cellStyle name="40% - Accent5 2 3 6 2" xfId="6654" xr:uid="{00000000-0005-0000-0000-00007D060000}"/>
    <cellStyle name="40% - Accent5 2 3 6 2 2" xfId="15101" xr:uid="{A6D23A03-366C-4611-A1C2-6525DB68C2E4}"/>
    <cellStyle name="40% - Accent5 2 3 6 3" xfId="10886" xr:uid="{41A2467C-39ED-4DC1-AF32-B84D32638346}"/>
    <cellStyle name="40% - Accent5 2 3 7" xfId="4588" xr:uid="{00000000-0005-0000-0000-00007E060000}"/>
    <cellStyle name="40% - Accent5 2 3 7 2" xfId="13035" xr:uid="{3157FABB-7C55-4918-8EFD-9141C8039B3C}"/>
    <cellStyle name="40% - Accent5 2 3 8" xfId="8820" xr:uid="{961313DB-F4C1-45B0-ACE4-6E223BC5FBA1}"/>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1" xr:uid="{A0306D8F-5A09-4201-9C32-EF83B5ABF893}"/>
    <cellStyle name="40% - Accent5 2 4 2 3" xfId="11376" xr:uid="{0296C8C8-52A4-48E1-8E38-54554EB096B3}"/>
    <cellStyle name="40% - Accent5 2 4 3" xfId="4999" xr:uid="{00000000-0005-0000-0000-000082060000}"/>
    <cellStyle name="40% - Accent5 2 4 3 2" xfId="13446" xr:uid="{2ADD1A1B-9227-45EB-B9CB-C26602936B53}"/>
    <cellStyle name="40% - Accent5 2 4 4" xfId="9231" xr:uid="{F0020D08-4EEA-4F59-92F4-0B88EE4E960E}"/>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4" xr:uid="{89ACEF44-6C59-49D5-A47B-FC85EAE44EFB}"/>
    <cellStyle name="40% - Accent5 2 5 2 3" xfId="11789" xr:uid="{E186C458-AF3C-4458-A44C-CB2F5D2C6988}"/>
    <cellStyle name="40% - Accent5 2 5 3" xfId="5412" xr:uid="{00000000-0005-0000-0000-000086060000}"/>
    <cellStyle name="40% - Accent5 2 5 3 2" xfId="13859" xr:uid="{2538A1BA-8F08-4EE5-81C2-8B50C751F39A}"/>
    <cellStyle name="40% - Accent5 2 5 4" xfId="9644" xr:uid="{BD135F3F-9BB3-444E-B5E8-633BFDF4D152}"/>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17" xr:uid="{039B7794-08BF-43A3-AF38-BCE9AC535885}"/>
    <cellStyle name="40% - Accent5 2 6 2 3" xfId="12202" xr:uid="{E7F3DD80-1A68-4DDC-8A8B-A9FA4DDDE4D0}"/>
    <cellStyle name="40% - Accent5 2 6 3" xfId="5825" xr:uid="{00000000-0005-0000-0000-00008A060000}"/>
    <cellStyle name="40% - Accent5 2 6 3 2" xfId="14272" xr:uid="{B274C4FA-8D4D-422F-BD53-0D42B897DA73}"/>
    <cellStyle name="40% - Accent5 2 6 4" xfId="10057" xr:uid="{19F1A1A0-B7B4-4A9C-AB55-210338449BEE}"/>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0" xr:uid="{7251B94B-77FE-41BE-B260-F0FA58289D32}"/>
    <cellStyle name="40% - Accent5 2 7 2 3" xfId="12615" xr:uid="{95704886-ECE0-4686-A8FE-00D8CCEE4964}"/>
    <cellStyle name="40% - Accent5 2 7 3" xfId="6238" xr:uid="{00000000-0005-0000-0000-00008E060000}"/>
    <cellStyle name="40% - Accent5 2 7 3 2" xfId="14685" xr:uid="{425B69D2-8A41-41EB-802A-92BECF42C1CC}"/>
    <cellStyle name="40% - Accent5 2 7 4" xfId="10470" xr:uid="{947921A7-F06B-4AA3-8A71-D122D8FD1D97}"/>
    <cellStyle name="40% - Accent5 2 8" xfId="2345" xr:uid="{00000000-0005-0000-0000-00008F060000}"/>
    <cellStyle name="40% - Accent5 2 8 2" xfId="6651" xr:uid="{00000000-0005-0000-0000-000090060000}"/>
    <cellStyle name="40% - Accent5 2 8 2 2" xfId="15098" xr:uid="{2889FA2D-3865-4635-A86C-E81B7E94B61C}"/>
    <cellStyle name="40% - Accent5 2 8 3" xfId="10883" xr:uid="{919EFB63-F566-4328-8F81-CCDB1C02F70E}"/>
    <cellStyle name="40% - Accent5 2 9" xfId="4585" xr:uid="{00000000-0005-0000-0000-000091060000}"/>
    <cellStyle name="40% - Accent5 2 9 2" xfId="13032" xr:uid="{DEAD4D9F-5C21-40CC-987F-93141115A724}"/>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6" xr:uid="{8AC02F4F-A812-45A6-8D09-773B055AFCA7}"/>
    <cellStyle name="40% - Accent5 3 2 2 2 3" xfId="11381" xr:uid="{5BB464E5-9FD1-4CCF-BADA-01AA05733559}"/>
    <cellStyle name="40% - Accent5 3 2 2 3" xfId="5004" xr:uid="{00000000-0005-0000-0000-000097060000}"/>
    <cellStyle name="40% - Accent5 3 2 2 3 2" xfId="13451" xr:uid="{0DDF293E-0333-47C2-92D1-F3AFC2EEFA64}"/>
    <cellStyle name="40% - Accent5 3 2 2 4" xfId="9236" xr:uid="{B4584DD5-9FFF-4518-A544-9174FA40EF19}"/>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09" xr:uid="{1690394C-DBEE-43D6-BB12-1F63E435871C}"/>
    <cellStyle name="40% - Accent5 3 2 3 2 3" xfId="11794" xr:uid="{DBAB2B9A-F89E-4FC0-B6FA-904DA1E76271}"/>
    <cellStyle name="40% - Accent5 3 2 3 3" xfId="5417" xr:uid="{00000000-0005-0000-0000-00009B060000}"/>
    <cellStyle name="40% - Accent5 3 2 3 3 2" xfId="13864" xr:uid="{BB1FF2DE-D44C-4B0B-AEE4-4DAACD6D0125}"/>
    <cellStyle name="40% - Accent5 3 2 3 4" xfId="9649" xr:uid="{921BA47E-6468-4161-88D1-8F2DCF721953}"/>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2" xr:uid="{09C2AEFA-2FB1-465E-BD20-39F17B1B0B85}"/>
    <cellStyle name="40% - Accent5 3 2 4 2 3" xfId="12207" xr:uid="{BC19F78D-EF0D-4827-9F43-55B8A49EA2CF}"/>
    <cellStyle name="40% - Accent5 3 2 4 3" xfId="5830" xr:uid="{00000000-0005-0000-0000-00009F060000}"/>
    <cellStyle name="40% - Accent5 3 2 4 3 2" xfId="14277" xr:uid="{5FDA2DD5-4F22-45C6-AE5E-C6B24683F519}"/>
    <cellStyle name="40% - Accent5 3 2 4 4" xfId="10062" xr:uid="{17B66565-F5DE-489A-B35B-309E6C28CA7F}"/>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5" xr:uid="{F164F5A5-36F7-45BF-94AE-A4C8A4E7144A}"/>
    <cellStyle name="40% - Accent5 3 2 5 2 3" xfId="12620" xr:uid="{4EE68635-2DF1-45D3-89BD-54AE89865BC5}"/>
    <cellStyle name="40% - Accent5 3 2 5 3" xfId="6243" xr:uid="{00000000-0005-0000-0000-0000A3060000}"/>
    <cellStyle name="40% - Accent5 3 2 5 3 2" xfId="14690" xr:uid="{EB1639F3-63C2-4989-99CB-0D92C2D1AD46}"/>
    <cellStyle name="40% - Accent5 3 2 5 4" xfId="10475" xr:uid="{FF0E7501-FE1B-49CC-9903-390285000871}"/>
    <cellStyle name="40% - Accent5 3 2 6" xfId="2350" xr:uid="{00000000-0005-0000-0000-0000A4060000}"/>
    <cellStyle name="40% - Accent5 3 2 6 2" xfId="6656" xr:uid="{00000000-0005-0000-0000-0000A5060000}"/>
    <cellStyle name="40% - Accent5 3 2 6 2 2" xfId="15103" xr:uid="{159AB57B-27B2-423B-9AB3-682935B93460}"/>
    <cellStyle name="40% - Accent5 3 2 6 3" xfId="10888" xr:uid="{A48FAB90-D244-4C1B-83ED-E891195155D1}"/>
    <cellStyle name="40% - Accent5 3 2 7" xfId="4590" xr:uid="{00000000-0005-0000-0000-0000A6060000}"/>
    <cellStyle name="40% - Accent5 3 2 7 2" xfId="13037" xr:uid="{9CD20172-DEF6-4C73-9BD9-5D31084BEB34}"/>
    <cellStyle name="40% - Accent5 3 2 8" xfId="8822" xr:uid="{795F22EA-85BA-4080-AE5D-0EDE36F607A1}"/>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5" xr:uid="{617BF9B0-53A9-4062-9EA3-567F441951A9}"/>
    <cellStyle name="40% - Accent5 3 3 2 3" xfId="11380" xr:uid="{7D83A16C-323E-475C-ABF3-0DEABCCDB501}"/>
    <cellStyle name="40% - Accent5 3 3 3" xfId="5003" xr:uid="{00000000-0005-0000-0000-0000AA060000}"/>
    <cellStyle name="40% - Accent5 3 3 3 2" xfId="13450" xr:uid="{FD09B691-9815-4442-9695-7F91F4C0B8BF}"/>
    <cellStyle name="40% - Accent5 3 3 4" xfId="9235" xr:uid="{F8B67E55-0765-4B68-91EF-6A23D23FB7CF}"/>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08" xr:uid="{FEF95927-E59F-4D65-BB4A-5DB8CF3F64D5}"/>
    <cellStyle name="40% - Accent5 3 4 2 3" xfId="11793" xr:uid="{B0791A29-B637-40CF-A316-1D0FD6763B5F}"/>
    <cellStyle name="40% - Accent5 3 4 3" xfId="5416" xr:uid="{00000000-0005-0000-0000-0000AE060000}"/>
    <cellStyle name="40% - Accent5 3 4 3 2" xfId="13863" xr:uid="{359AD421-CAC2-441C-939A-20C4FACB312B}"/>
    <cellStyle name="40% - Accent5 3 4 4" xfId="9648" xr:uid="{4D757B55-9D5C-4581-9CFE-7D4045EF55BD}"/>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1" xr:uid="{DD5FA0B3-6650-4242-97A0-3B6495C3B1F2}"/>
    <cellStyle name="40% - Accent5 3 5 2 3" xfId="12206" xr:uid="{4F7ED436-88ED-481C-AA30-782989234B34}"/>
    <cellStyle name="40% - Accent5 3 5 3" xfId="5829" xr:uid="{00000000-0005-0000-0000-0000B2060000}"/>
    <cellStyle name="40% - Accent5 3 5 3 2" xfId="14276" xr:uid="{35DAEA3E-E1EA-45E1-B127-A475E2F9368C}"/>
    <cellStyle name="40% - Accent5 3 5 4" xfId="10061" xr:uid="{22AFE30A-34A4-47F8-98C6-E520E74CD145}"/>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4" xr:uid="{1C3A3774-C241-4A86-A30E-3D1291B73906}"/>
    <cellStyle name="40% - Accent5 3 6 2 3" xfId="12619" xr:uid="{72FBA087-B250-43BE-A4C2-C0417E0037FA}"/>
    <cellStyle name="40% - Accent5 3 6 3" xfId="6242" xr:uid="{00000000-0005-0000-0000-0000B6060000}"/>
    <cellStyle name="40% - Accent5 3 6 3 2" xfId="14689" xr:uid="{75B96B1D-3247-443F-B5A7-B4AE8C493527}"/>
    <cellStyle name="40% - Accent5 3 6 4" xfId="10474" xr:uid="{753BDF16-474C-4360-8DB7-17E824937399}"/>
    <cellStyle name="40% - Accent5 3 7" xfId="2349" xr:uid="{00000000-0005-0000-0000-0000B7060000}"/>
    <cellStyle name="40% - Accent5 3 7 2" xfId="6655" xr:uid="{00000000-0005-0000-0000-0000B8060000}"/>
    <cellStyle name="40% - Accent5 3 7 2 2" xfId="15102" xr:uid="{7C9EADAB-61DD-43C1-8C14-6637E6D92FC9}"/>
    <cellStyle name="40% - Accent5 3 7 3" xfId="10887" xr:uid="{C43A6D97-38FB-4399-A876-9239B88E3148}"/>
    <cellStyle name="40% - Accent5 3 8" xfId="4589" xr:uid="{00000000-0005-0000-0000-0000B9060000}"/>
    <cellStyle name="40% - Accent5 3 8 2" xfId="13036" xr:uid="{904E63AF-5232-487C-9E45-FE8637400AA1}"/>
    <cellStyle name="40% - Accent5 3 9" xfId="8821" xr:uid="{24391110-355C-40B3-B7DF-5F4A7FA888C9}"/>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597" xr:uid="{FE9ED9DA-17CA-4DF2-A307-D254A5057A12}"/>
    <cellStyle name="40% - Accent5 4 2 2 3" xfId="11382" xr:uid="{BCF1CBBD-1027-4757-9AC9-D3F8BAA8DE5F}"/>
    <cellStyle name="40% - Accent5 4 2 3" xfId="5005" xr:uid="{00000000-0005-0000-0000-0000BE060000}"/>
    <cellStyle name="40% - Accent5 4 2 3 2" xfId="13452" xr:uid="{A4CF9358-BC10-4FB5-BF3A-6BC51CD0FDA9}"/>
    <cellStyle name="40% - Accent5 4 2 4" xfId="9237" xr:uid="{4FB31D91-209A-4B78-8267-5B41139EC60E}"/>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0" xr:uid="{C263620F-9B96-4CF6-A927-1005BB1EC416}"/>
    <cellStyle name="40% - Accent5 4 3 2 3" xfId="11795" xr:uid="{1308525E-75D2-45C6-B416-D3E50BA87A4E}"/>
    <cellStyle name="40% - Accent5 4 3 3" xfId="5418" xr:uid="{00000000-0005-0000-0000-0000C2060000}"/>
    <cellStyle name="40% - Accent5 4 3 3 2" xfId="13865" xr:uid="{7579AC94-4D6C-4DE8-A022-A88E70C54816}"/>
    <cellStyle name="40% - Accent5 4 3 4" xfId="9650" xr:uid="{3DCD8591-75B6-4514-9361-0714A97E8F30}"/>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3" xr:uid="{A912BA97-54CD-4737-9A6D-F58141CF754C}"/>
    <cellStyle name="40% - Accent5 4 4 2 3" xfId="12208" xr:uid="{86DC5820-C524-4667-9E1D-EAFEABE56226}"/>
    <cellStyle name="40% - Accent5 4 4 3" xfId="5831" xr:uid="{00000000-0005-0000-0000-0000C6060000}"/>
    <cellStyle name="40% - Accent5 4 4 3 2" xfId="14278" xr:uid="{47BC370F-0EAF-473D-B402-86A81A31F422}"/>
    <cellStyle name="40% - Accent5 4 4 4" xfId="10063" xr:uid="{CE679E0F-7AD2-4E42-A4DC-B427D2B1ED78}"/>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6" xr:uid="{466409AF-FDCA-4AFE-8404-F20144DF2535}"/>
    <cellStyle name="40% - Accent5 4 5 2 3" xfId="12621" xr:uid="{D4335F40-6EAB-4C6D-B818-A1F424E19E95}"/>
    <cellStyle name="40% - Accent5 4 5 3" xfId="6244" xr:uid="{00000000-0005-0000-0000-0000CA060000}"/>
    <cellStyle name="40% - Accent5 4 5 3 2" xfId="14691" xr:uid="{1921BDCD-B64B-42F0-9A45-F4FCC2494B40}"/>
    <cellStyle name="40% - Accent5 4 5 4" xfId="10476" xr:uid="{5281A692-1CA6-4AC9-ABF6-6AAA39D26B6D}"/>
    <cellStyle name="40% - Accent5 4 6" xfId="2351" xr:uid="{00000000-0005-0000-0000-0000CB060000}"/>
    <cellStyle name="40% - Accent5 4 6 2" xfId="6657" xr:uid="{00000000-0005-0000-0000-0000CC060000}"/>
    <cellStyle name="40% - Accent5 4 6 2 2" xfId="15104" xr:uid="{EAB1C60F-4C52-4AA3-83B0-E33B7E954B12}"/>
    <cellStyle name="40% - Accent5 4 6 3" xfId="10889" xr:uid="{D89D1017-6060-4B0F-AD0B-59DD355CA41E}"/>
    <cellStyle name="40% - Accent5 4 7" xfId="4591" xr:uid="{00000000-0005-0000-0000-0000CD060000}"/>
    <cellStyle name="40% - Accent5 4 7 2" xfId="13038" xr:uid="{CD322418-6603-4F02-9A11-1D537835B4A4}"/>
    <cellStyle name="40% - Accent5 4 8" xfId="8823" xr:uid="{9E624EBC-8E1A-4FF1-9A72-5F6B94888FF1}"/>
    <cellStyle name="40% - Accent5 5" xfId="650" xr:uid="{00000000-0005-0000-0000-0000CE060000}"/>
    <cellStyle name="40% - Accent5 5 2" xfId="2921" xr:uid="{00000000-0005-0000-0000-0000CF060000}"/>
    <cellStyle name="40% - Accent5 5 2 2" xfId="7143" xr:uid="{00000000-0005-0000-0000-0000D0060000}"/>
    <cellStyle name="40% - Accent5 5 2 2 2" xfId="15590" xr:uid="{211A728B-3CBF-4933-8ED4-19A0633139AB}"/>
    <cellStyle name="40% - Accent5 5 2 3" xfId="11375" xr:uid="{95205A7D-AFD5-4901-8D8B-9FA26969F10F}"/>
    <cellStyle name="40% - Accent5 5 3" xfId="4998" xr:uid="{00000000-0005-0000-0000-0000D1060000}"/>
    <cellStyle name="40% - Accent5 5 3 2" xfId="13445" xr:uid="{C01A5082-795A-45E1-847F-7FE26133E2BB}"/>
    <cellStyle name="40% - Accent5 5 4" xfId="9230" xr:uid="{0DF2C4E1-1C3A-4A72-86C1-5C0CA5959AAB}"/>
    <cellStyle name="40% - Accent5 6" xfId="1103" xr:uid="{00000000-0005-0000-0000-0000D2060000}"/>
    <cellStyle name="40% - Accent5 6 2" xfId="3334" xr:uid="{00000000-0005-0000-0000-0000D3060000}"/>
    <cellStyle name="40% - Accent5 6 2 2" xfId="7556" xr:uid="{00000000-0005-0000-0000-0000D4060000}"/>
    <cellStyle name="40% - Accent5 6 2 2 2" xfId="16003" xr:uid="{774897D9-3B5B-4A60-B9C1-FAD5534B52FC}"/>
    <cellStyle name="40% - Accent5 6 2 3" xfId="11788" xr:uid="{DAC52845-FCBB-4196-BE8F-776ACFF16CA5}"/>
    <cellStyle name="40% - Accent5 6 3" xfId="5411" xr:uid="{00000000-0005-0000-0000-0000D5060000}"/>
    <cellStyle name="40% - Accent5 6 3 2" xfId="13858" xr:uid="{8C06A6EF-CEED-4406-92EA-7924B53FEDF0}"/>
    <cellStyle name="40% - Accent5 6 4" xfId="9643" xr:uid="{1252B24B-FD1F-4537-87C3-8438A051CD32}"/>
    <cellStyle name="40% - Accent5 7" xfId="1517" xr:uid="{00000000-0005-0000-0000-0000D6060000}"/>
    <cellStyle name="40% - Accent5 7 2" xfId="3747" xr:uid="{00000000-0005-0000-0000-0000D7060000}"/>
    <cellStyle name="40% - Accent5 7 2 2" xfId="7969" xr:uid="{00000000-0005-0000-0000-0000D8060000}"/>
    <cellStyle name="40% - Accent5 7 2 2 2" xfId="16416" xr:uid="{3A57DBAE-8D62-437D-AB09-9845C912D089}"/>
    <cellStyle name="40% - Accent5 7 2 3" xfId="12201" xr:uid="{B428E181-6D62-40B1-9E69-70FAA68CF901}"/>
    <cellStyle name="40% - Accent5 7 3" xfId="5824" xr:uid="{00000000-0005-0000-0000-0000D9060000}"/>
    <cellStyle name="40% - Accent5 7 3 2" xfId="14271" xr:uid="{520420F3-F262-46B4-808D-40CF187B0923}"/>
    <cellStyle name="40% - Accent5 7 4" xfId="10056" xr:uid="{2F425CD7-6E71-46CD-9314-EDAF09BECE40}"/>
    <cellStyle name="40% - Accent5 8" xfId="1931" xr:uid="{00000000-0005-0000-0000-0000DA060000}"/>
    <cellStyle name="40% - Accent5 8 2" xfId="4160" xr:uid="{00000000-0005-0000-0000-0000DB060000}"/>
    <cellStyle name="40% - Accent5 8 2 2" xfId="8382" xr:uid="{00000000-0005-0000-0000-0000DC060000}"/>
    <cellStyle name="40% - Accent5 8 2 2 2" xfId="16829" xr:uid="{3EB96168-22B7-4244-8B02-1A1E97F1984F}"/>
    <cellStyle name="40% - Accent5 8 2 3" xfId="12614" xr:uid="{7BAC645E-0120-46B1-8A10-B4702F968280}"/>
    <cellStyle name="40% - Accent5 8 3" xfId="6237" xr:uid="{00000000-0005-0000-0000-0000DD060000}"/>
    <cellStyle name="40% - Accent5 8 3 2" xfId="14684" xr:uid="{72D3E878-4A82-42FD-83A6-2C671CAF2039}"/>
    <cellStyle name="40% - Accent5 8 4" xfId="10469" xr:uid="{5B2B3DC5-E9DA-47F8-A00B-A960236BE712}"/>
    <cellStyle name="40% - Accent5 9" xfId="2344" xr:uid="{00000000-0005-0000-0000-0000DE060000}"/>
    <cellStyle name="40% - Accent5 9 2" xfId="6650" xr:uid="{00000000-0005-0000-0000-0000DF060000}"/>
    <cellStyle name="40% - Accent5 9 2 2" xfId="15097" xr:uid="{79EE7E07-A67F-4CB3-AA4C-5EF450D9BA66}"/>
    <cellStyle name="40% - Accent5 9 3" xfId="10882" xr:uid="{3FAE5BE6-B58D-466D-BE43-8DEDA7B8A0A7}"/>
    <cellStyle name="40% - Accent6" xfId="89" builtinId="51" customBuiltin="1"/>
    <cellStyle name="40% - Accent6 10" xfId="4592" xr:uid="{00000000-0005-0000-0000-0000E1060000}"/>
    <cellStyle name="40% - Accent6 10 2" xfId="13039" xr:uid="{9287ACB1-6CD0-450E-95C8-52BA739A8C78}"/>
    <cellStyle name="40% - Accent6 11" xfId="8824" xr:uid="{32C97998-6FE4-477D-900F-96693833C7F6}"/>
    <cellStyle name="40% - Accent6 2" xfId="90" xr:uid="{00000000-0005-0000-0000-0000E2060000}"/>
    <cellStyle name="40% - Accent6 2 10" xfId="8825" xr:uid="{3AE3EDDD-D3C7-4F10-9DCF-A0D9506C361E}"/>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1" xr:uid="{466653AE-F23D-45B3-9FA0-D9B46FD1C0C7}"/>
    <cellStyle name="40% - Accent6 2 2 2 2 2 3" xfId="11386" xr:uid="{5AA19688-4A59-4C08-B492-E0411F1F54CF}"/>
    <cellStyle name="40% - Accent6 2 2 2 2 3" xfId="5009" xr:uid="{00000000-0005-0000-0000-0000E8060000}"/>
    <cellStyle name="40% - Accent6 2 2 2 2 3 2" xfId="13456" xr:uid="{C609D7C9-21ED-4E25-A030-C2B2159F0A92}"/>
    <cellStyle name="40% - Accent6 2 2 2 2 4" xfId="9241" xr:uid="{FC0E8D5F-DBF4-4A9E-98C2-678094CDC2AF}"/>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4" xr:uid="{AF79160B-C62D-44C9-808E-95A73D406C64}"/>
    <cellStyle name="40% - Accent6 2 2 2 3 2 3" xfId="11799" xr:uid="{5B6B8A03-63D8-4814-9EDE-CD599CC39D80}"/>
    <cellStyle name="40% - Accent6 2 2 2 3 3" xfId="5422" xr:uid="{00000000-0005-0000-0000-0000EC060000}"/>
    <cellStyle name="40% - Accent6 2 2 2 3 3 2" xfId="13869" xr:uid="{9B9F1229-BDC0-498F-A994-A216A9752A45}"/>
    <cellStyle name="40% - Accent6 2 2 2 3 4" xfId="9654" xr:uid="{36B71885-89D8-4F11-A9AA-CE495F6F3B89}"/>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27" xr:uid="{79A20022-8F04-4DE7-9CE9-ECAB9FBC8DAF}"/>
    <cellStyle name="40% - Accent6 2 2 2 4 2 3" xfId="12212" xr:uid="{A9F3AD91-EECA-4E70-AEA5-2F8B5A93A3B9}"/>
    <cellStyle name="40% - Accent6 2 2 2 4 3" xfId="5835" xr:uid="{00000000-0005-0000-0000-0000F0060000}"/>
    <cellStyle name="40% - Accent6 2 2 2 4 3 2" xfId="14282" xr:uid="{72C67D66-8E30-4C66-A2EE-6EB0AF36EB7A}"/>
    <cellStyle name="40% - Accent6 2 2 2 4 4" xfId="10067" xr:uid="{9733E874-A728-45AA-A388-96FADD505975}"/>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0" xr:uid="{B1D607E6-D37C-4E60-9ED3-D45E2A61E58A}"/>
    <cellStyle name="40% - Accent6 2 2 2 5 2 3" xfId="12625" xr:uid="{AC0F7692-81E7-4446-80AE-4FFEA6045AD9}"/>
    <cellStyle name="40% - Accent6 2 2 2 5 3" xfId="6248" xr:uid="{00000000-0005-0000-0000-0000F4060000}"/>
    <cellStyle name="40% - Accent6 2 2 2 5 3 2" xfId="14695" xr:uid="{0556F784-F510-4A9B-A4C1-170879573B5B}"/>
    <cellStyle name="40% - Accent6 2 2 2 5 4" xfId="10480" xr:uid="{98A7DB86-CC23-4681-A52D-0472CAA79279}"/>
    <cellStyle name="40% - Accent6 2 2 2 6" xfId="2355" xr:uid="{00000000-0005-0000-0000-0000F5060000}"/>
    <cellStyle name="40% - Accent6 2 2 2 6 2" xfId="6661" xr:uid="{00000000-0005-0000-0000-0000F6060000}"/>
    <cellStyle name="40% - Accent6 2 2 2 6 2 2" xfId="15108" xr:uid="{1DB38CE4-7ED1-4064-BF1A-68C23F142900}"/>
    <cellStyle name="40% - Accent6 2 2 2 6 3" xfId="10893" xr:uid="{2685ED27-EB99-4ABB-9F9E-3BF9FB65A816}"/>
    <cellStyle name="40% - Accent6 2 2 2 7" xfId="4595" xr:uid="{00000000-0005-0000-0000-0000F7060000}"/>
    <cellStyle name="40% - Accent6 2 2 2 7 2" xfId="13042" xr:uid="{A0E96B65-1D01-4F76-A1F1-8CE9A9CE0A93}"/>
    <cellStyle name="40% - Accent6 2 2 2 8" xfId="8827" xr:uid="{E3924375-BA90-43F3-A007-34DC734D87AE}"/>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0" xr:uid="{33A6A999-3BBD-459C-8EF7-514D3AE923B1}"/>
    <cellStyle name="40% - Accent6 2 2 3 2 3" xfId="11385" xr:uid="{345E217D-3B92-4D4D-A562-8A2FE8198A5B}"/>
    <cellStyle name="40% - Accent6 2 2 3 3" xfId="5008" xr:uid="{00000000-0005-0000-0000-0000FB060000}"/>
    <cellStyle name="40% - Accent6 2 2 3 3 2" xfId="13455" xr:uid="{A11F585C-5EED-4F89-B4DF-A7D6EEF648AA}"/>
    <cellStyle name="40% - Accent6 2 2 3 4" xfId="9240" xr:uid="{774DF638-BBBB-4A96-B9C6-2AD79A332E7F}"/>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3" xr:uid="{AE75A865-D64A-4C91-98E5-EEEB532B32EF}"/>
    <cellStyle name="40% - Accent6 2 2 4 2 3" xfId="11798" xr:uid="{DFDC2CC4-DE8D-47FC-856A-0D36541ED26B}"/>
    <cellStyle name="40% - Accent6 2 2 4 3" xfId="5421" xr:uid="{00000000-0005-0000-0000-0000FF060000}"/>
    <cellStyle name="40% - Accent6 2 2 4 3 2" xfId="13868" xr:uid="{379D5E3D-A99E-450A-97A1-767242D954DB}"/>
    <cellStyle name="40% - Accent6 2 2 4 4" xfId="9653" xr:uid="{329BBC6C-A8BC-4FC0-BA45-37B70E5DA34C}"/>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6" xr:uid="{19412679-5292-4759-B77E-51473DE8A69E}"/>
    <cellStyle name="40% - Accent6 2 2 5 2 3" xfId="12211" xr:uid="{98E96DF9-8BCA-4174-8E3E-0442891FF879}"/>
    <cellStyle name="40% - Accent6 2 2 5 3" xfId="5834" xr:uid="{00000000-0005-0000-0000-000003070000}"/>
    <cellStyle name="40% - Accent6 2 2 5 3 2" xfId="14281" xr:uid="{ED79ECC8-EEC4-4644-9F5F-F1BD8657B5CB}"/>
    <cellStyle name="40% - Accent6 2 2 5 4" xfId="10066" xr:uid="{246E6695-A225-460E-A932-1F03A4546935}"/>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39" xr:uid="{71E711D2-EA86-46F1-8ED2-615A30A08D8C}"/>
    <cellStyle name="40% - Accent6 2 2 6 2 3" xfId="12624" xr:uid="{DAA47436-CD01-42E1-8B1C-5D4EA06605C1}"/>
    <cellStyle name="40% - Accent6 2 2 6 3" xfId="6247" xr:uid="{00000000-0005-0000-0000-000007070000}"/>
    <cellStyle name="40% - Accent6 2 2 6 3 2" xfId="14694" xr:uid="{8CE66FF3-5205-453C-8F0A-1922A3AB1A88}"/>
    <cellStyle name="40% - Accent6 2 2 6 4" xfId="10479" xr:uid="{BBFE5228-54D0-42E0-9E94-1B6809B6D5CC}"/>
    <cellStyle name="40% - Accent6 2 2 7" xfId="2354" xr:uid="{00000000-0005-0000-0000-000008070000}"/>
    <cellStyle name="40% - Accent6 2 2 7 2" xfId="6660" xr:uid="{00000000-0005-0000-0000-000009070000}"/>
    <cellStyle name="40% - Accent6 2 2 7 2 2" xfId="15107" xr:uid="{F5AF46FC-5FB9-4F5B-9D73-5D968B409AA2}"/>
    <cellStyle name="40% - Accent6 2 2 7 3" xfId="10892" xr:uid="{9A8CF39F-6F5B-44EF-8DCE-7B151C00B2E2}"/>
    <cellStyle name="40% - Accent6 2 2 8" xfId="4594" xr:uid="{00000000-0005-0000-0000-00000A070000}"/>
    <cellStyle name="40% - Accent6 2 2 8 2" xfId="13041" xr:uid="{A8F4E964-32C6-4648-872A-CF7054CF338E}"/>
    <cellStyle name="40% - Accent6 2 2 9" xfId="8826" xr:uid="{0176261A-5AC8-4DBC-96BA-8D4710DE1EF2}"/>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2" xr:uid="{5F1B6697-56DB-4FD3-A310-A173A3C1672A}"/>
    <cellStyle name="40% - Accent6 2 3 2 2 3" xfId="11387" xr:uid="{F72E9FEB-956B-468E-A778-869A23669463}"/>
    <cellStyle name="40% - Accent6 2 3 2 3" xfId="5010" xr:uid="{00000000-0005-0000-0000-00000F070000}"/>
    <cellStyle name="40% - Accent6 2 3 2 3 2" xfId="13457" xr:uid="{0B07F731-070E-4842-B1B1-729D677389F5}"/>
    <cellStyle name="40% - Accent6 2 3 2 4" xfId="9242" xr:uid="{77317996-A523-45DF-99FC-5BD459C5FCFE}"/>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5" xr:uid="{7EA59A9F-CE86-4B57-901A-EA07EEF848F7}"/>
    <cellStyle name="40% - Accent6 2 3 3 2 3" xfId="11800" xr:uid="{A798FE58-7BFA-40AF-811B-B220981FF249}"/>
    <cellStyle name="40% - Accent6 2 3 3 3" xfId="5423" xr:uid="{00000000-0005-0000-0000-000013070000}"/>
    <cellStyle name="40% - Accent6 2 3 3 3 2" xfId="13870" xr:uid="{BF5814B0-2406-4B02-BBF7-E857380DCB3F}"/>
    <cellStyle name="40% - Accent6 2 3 3 4" xfId="9655" xr:uid="{93450D86-3960-4E0C-BF10-8A8444E40277}"/>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28" xr:uid="{515598C1-4138-4A7D-9600-155C0420E7B2}"/>
    <cellStyle name="40% - Accent6 2 3 4 2 3" xfId="12213" xr:uid="{0D7185F6-6148-41BE-B4C9-AACD9FE3CEC8}"/>
    <cellStyle name="40% - Accent6 2 3 4 3" xfId="5836" xr:uid="{00000000-0005-0000-0000-000017070000}"/>
    <cellStyle name="40% - Accent6 2 3 4 3 2" xfId="14283" xr:uid="{01A7BFE9-0D71-4E1C-ACBA-EFAB4265C097}"/>
    <cellStyle name="40% - Accent6 2 3 4 4" xfId="10068" xr:uid="{1C5404F5-B878-4F50-AF4F-6FE72CADBA74}"/>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1" xr:uid="{61B856EF-9AA8-499D-AAF0-659895412EF3}"/>
    <cellStyle name="40% - Accent6 2 3 5 2 3" xfId="12626" xr:uid="{F88AFEBC-B0A4-4695-B7F6-9E70CEAC4D5E}"/>
    <cellStyle name="40% - Accent6 2 3 5 3" xfId="6249" xr:uid="{00000000-0005-0000-0000-00001B070000}"/>
    <cellStyle name="40% - Accent6 2 3 5 3 2" xfId="14696" xr:uid="{CC2E1A1B-1BAC-437A-9ED9-F986B3C43965}"/>
    <cellStyle name="40% - Accent6 2 3 5 4" xfId="10481" xr:uid="{33A7C192-9EF0-4F42-B835-4F71F4863B9C}"/>
    <cellStyle name="40% - Accent6 2 3 6" xfId="2356" xr:uid="{00000000-0005-0000-0000-00001C070000}"/>
    <cellStyle name="40% - Accent6 2 3 6 2" xfId="6662" xr:uid="{00000000-0005-0000-0000-00001D070000}"/>
    <cellStyle name="40% - Accent6 2 3 6 2 2" xfId="15109" xr:uid="{7AE962BD-3220-44F7-9A7D-3F30EBEC748B}"/>
    <cellStyle name="40% - Accent6 2 3 6 3" xfId="10894" xr:uid="{6486A891-EBF2-45EC-ACFE-CEFA9BC4FDD4}"/>
    <cellStyle name="40% - Accent6 2 3 7" xfId="4596" xr:uid="{00000000-0005-0000-0000-00001E070000}"/>
    <cellStyle name="40% - Accent6 2 3 7 2" xfId="13043" xr:uid="{DDAB0880-AEAD-4407-A93A-678DEA11465F}"/>
    <cellStyle name="40% - Accent6 2 3 8" xfId="8828" xr:uid="{7531D7E0-750E-4A33-8E24-45A22B5467F2}"/>
    <cellStyle name="40% - Accent6 2 4" xfId="659" xr:uid="{00000000-0005-0000-0000-00001F070000}"/>
    <cellStyle name="40% - Accent6 2 4 2" xfId="2930" xr:uid="{00000000-0005-0000-0000-000020070000}"/>
    <cellStyle name="40% - Accent6 2 4 2 2" xfId="7152" xr:uid="{00000000-0005-0000-0000-000021070000}"/>
    <cellStyle name="40% - Accent6 2 4 2 2 2" xfId="15599" xr:uid="{AF4A59C9-EEB2-4632-BC99-6AECAF40FF32}"/>
    <cellStyle name="40% - Accent6 2 4 2 3" xfId="11384" xr:uid="{77848239-78EB-4DC5-8004-056700E8088B}"/>
    <cellStyle name="40% - Accent6 2 4 3" xfId="5007" xr:uid="{00000000-0005-0000-0000-000022070000}"/>
    <cellStyle name="40% - Accent6 2 4 3 2" xfId="13454" xr:uid="{8E83FE90-95E8-4F5D-822D-557DE7B5D477}"/>
    <cellStyle name="40% - Accent6 2 4 4" xfId="9239" xr:uid="{B9CCF015-24E5-424E-9DD1-404E5343D602}"/>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2" xr:uid="{6F1E88D0-30F1-47AF-83E4-A4DC147C66E0}"/>
    <cellStyle name="40% - Accent6 2 5 2 3" xfId="11797" xr:uid="{1FB96475-EE00-463D-B7F7-74DED4442843}"/>
    <cellStyle name="40% - Accent6 2 5 3" xfId="5420" xr:uid="{00000000-0005-0000-0000-000026070000}"/>
    <cellStyle name="40% - Accent6 2 5 3 2" xfId="13867" xr:uid="{D383CF87-19DE-4C67-AED6-BF932A7C20DB}"/>
    <cellStyle name="40% - Accent6 2 5 4" xfId="9652" xr:uid="{1F4FA032-96A4-4E25-BD9A-8A319FF87598}"/>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5" xr:uid="{8DEA1E23-51C3-4EDB-B561-AD757FFC3190}"/>
    <cellStyle name="40% - Accent6 2 6 2 3" xfId="12210" xr:uid="{1EECB69F-5606-4F3F-B11A-7BC4A1356BDD}"/>
    <cellStyle name="40% - Accent6 2 6 3" xfId="5833" xr:uid="{00000000-0005-0000-0000-00002A070000}"/>
    <cellStyle name="40% - Accent6 2 6 3 2" xfId="14280" xr:uid="{F0174A31-5085-4069-81C3-F0C167FFBF49}"/>
    <cellStyle name="40% - Accent6 2 6 4" xfId="10065" xr:uid="{731B8085-76DD-4377-ADF2-AECE2859CC6F}"/>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38" xr:uid="{811B39FC-5278-48FB-ADC0-4E709010F8A9}"/>
    <cellStyle name="40% - Accent6 2 7 2 3" xfId="12623" xr:uid="{BFBC7BB3-AB3A-4977-A697-61C5ED972360}"/>
    <cellStyle name="40% - Accent6 2 7 3" xfId="6246" xr:uid="{00000000-0005-0000-0000-00002E070000}"/>
    <cellStyle name="40% - Accent6 2 7 3 2" xfId="14693" xr:uid="{3CA35F59-AF1C-4559-A463-CE90E258F626}"/>
    <cellStyle name="40% - Accent6 2 7 4" xfId="10478" xr:uid="{C61F269F-F21D-4CB4-BF1E-929B517CDA4D}"/>
    <cellStyle name="40% - Accent6 2 8" xfId="2353" xr:uid="{00000000-0005-0000-0000-00002F070000}"/>
    <cellStyle name="40% - Accent6 2 8 2" xfId="6659" xr:uid="{00000000-0005-0000-0000-000030070000}"/>
    <cellStyle name="40% - Accent6 2 8 2 2" xfId="15106" xr:uid="{5C4891F3-B908-4C89-8EF9-CC9EEBB0160A}"/>
    <cellStyle name="40% - Accent6 2 8 3" xfId="10891" xr:uid="{E280B37A-B60C-4130-A34B-5EEF986E03F6}"/>
    <cellStyle name="40% - Accent6 2 9" xfId="4593" xr:uid="{00000000-0005-0000-0000-000031070000}"/>
    <cellStyle name="40% - Accent6 2 9 2" xfId="13040" xr:uid="{1336CB8C-87A3-4C3F-A99A-FE5C82786407}"/>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4" xr:uid="{48146F08-8E58-47B9-8221-E20E73DA3A6A}"/>
    <cellStyle name="40% - Accent6 3 2 2 2 3" xfId="11389" xr:uid="{7FD7DC23-09F6-4FFC-B483-2AC00FEB8F86}"/>
    <cellStyle name="40% - Accent6 3 2 2 3" xfId="5012" xr:uid="{00000000-0005-0000-0000-000037070000}"/>
    <cellStyle name="40% - Accent6 3 2 2 3 2" xfId="13459" xr:uid="{5544FD0F-3676-46D3-8E06-AE8683875631}"/>
    <cellStyle name="40% - Accent6 3 2 2 4" xfId="9244" xr:uid="{8C618EA3-01E1-4EC9-9C62-07D0B7A5BBAD}"/>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17" xr:uid="{5E693D87-1463-4428-B727-9689802D3A2A}"/>
    <cellStyle name="40% - Accent6 3 2 3 2 3" xfId="11802" xr:uid="{AE43E1C5-03CA-4D4E-B789-DBE1C5B605A8}"/>
    <cellStyle name="40% - Accent6 3 2 3 3" xfId="5425" xr:uid="{00000000-0005-0000-0000-00003B070000}"/>
    <cellStyle name="40% - Accent6 3 2 3 3 2" xfId="13872" xr:uid="{093948D5-E49D-4580-9972-0E8B1CAECF3B}"/>
    <cellStyle name="40% - Accent6 3 2 3 4" xfId="9657" xr:uid="{8085552D-0949-444F-B891-C356A88B82A3}"/>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0" xr:uid="{B3913F0B-A8D5-41D4-8544-B7DBC7BCC04C}"/>
    <cellStyle name="40% - Accent6 3 2 4 2 3" xfId="12215" xr:uid="{9EF068ED-C021-4939-9231-33192AB45E0E}"/>
    <cellStyle name="40% - Accent6 3 2 4 3" xfId="5838" xr:uid="{00000000-0005-0000-0000-00003F070000}"/>
    <cellStyle name="40% - Accent6 3 2 4 3 2" xfId="14285" xr:uid="{A9BB767B-ED71-4BA0-A6DF-2E4758441BE7}"/>
    <cellStyle name="40% - Accent6 3 2 4 4" xfId="10070" xr:uid="{90A5929E-EBE2-4450-B3B9-42769BE0DD3D}"/>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3" xr:uid="{2D6838E2-CAB4-4141-9E96-CA9CCA3AC503}"/>
    <cellStyle name="40% - Accent6 3 2 5 2 3" xfId="12628" xr:uid="{2EC5B4C2-E47C-4DDA-80AC-355215E7010D}"/>
    <cellStyle name="40% - Accent6 3 2 5 3" xfId="6251" xr:uid="{00000000-0005-0000-0000-000043070000}"/>
    <cellStyle name="40% - Accent6 3 2 5 3 2" xfId="14698" xr:uid="{1478F709-EA1B-4FA0-A7ED-87489832DF1F}"/>
    <cellStyle name="40% - Accent6 3 2 5 4" xfId="10483" xr:uid="{2FE39519-2391-4E6F-BB85-70AF8900E4A3}"/>
    <cellStyle name="40% - Accent6 3 2 6" xfId="2358" xr:uid="{00000000-0005-0000-0000-000044070000}"/>
    <cellStyle name="40% - Accent6 3 2 6 2" xfId="6664" xr:uid="{00000000-0005-0000-0000-000045070000}"/>
    <cellStyle name="40% - Accent6 3 2 6 2 2" xfId="15111" xr:uid="{F7D1F031-D6D9-4282-AC51-DAEE1FD359D9}"/>
    <cellStyle name="40% - Accent6 3 2 6 3" xfId="10896" xr:uid="{FE1F0CE9-9375-41A5-874F-988CD1DECA01}"/>
    <cellStyle name="40% - Accent6 3 2 7" xfId="4598" xr:uid="{00000000-0005-0000-0000-000046070000}"/>
    <cellStyle name="40% - Accent6 3 2 7 2" xfId="13045" xr:uid="{47CD0398-F0E8-4DB9-A61D-70813FEEA591}"/>
    <cellStyle name="40% - Accent6 3 2 8" xfId="8830" xr:uid="{2F7C4046-B9CC-41DB-91A5-F61CA21726EA}"/>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3" xr:uid="{3E58514F-E354-45A7-B1ED-BC68838C2E88}"/>
    <cellStyle name="40% - Accent6 3 3 2 3" xfId="11388" xr:uid="{FF306E88-7204-4006-977C-3DA9D17ECB34}"/>
    <cellStyle name="40% - Accent6 3 3 3" xfId="5011" xr:uid="{00000000-0005-0000-0000-00004A070000}"/>
    <cellStyle name="40% - Accent6 3 3 3 2" xfId="13458" xr:uid="{6F44E33C-5BED-4187-BBCB-7A715F06213F}"/>
    <cellStyle name="40% - Accent6 3 3 4" xfId="9243" xr:uid="{E5E17171-7382-4732-B2B0-F1F3C9EF381F}"/>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6" xr:uid="{11385945-C731-4475-818D-88166045A7FE}"/>
    <cellStyle name="40% - Accent6 3 4 2 3" xfId="11801" xr:uid="{648C67E0-9F7F-47A5-82A8-197CACA01038}"/>
    <cellStyle name="40% - Accent6 3 4 3" xfId="5424" xr:uid="{00000000-0005-0000-0000-00004E070000}"/>
    <cellStyle name="40% - Accent6 3 4 3 2" xfId="13871" xr:uid="{D80866AB-F77C-4977-9CBA-F0DA88094558}"/>
    <cellStyle name="40% - Accent6 3 4 4" xfId="9656" xr:uid="{B687AEAB-DC7F-41B0-82C0-EA2E4E3129D3}"/>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29" xr:uid="{84ABB788-6437-4477-BCA0-8D53B6C5DD71}"/>
    <cellStyle name="40% - Accent6 3 5 2 3" xfId="12214" xr:uid="{0ABE98B6-B697-472F-86FE-96F6CCAA3CDB}"/>
    <cellStyle name="40% - Accent6 3 5 3" xfId="5837" xr:uid="{00000000-0005-0000-0000-000052070000}"/>
    <cellStyle name="40% - Accent6 3 5 3 2" xfId="14284" xr:uid="{BB5C272E-F4C4-476A-AB95-F8862E4C86C3}"/>
    <cellStyle name="40% - Accent6 3 5 4" xfId="10069" xr:uid="{ACA56A66-2328-47F0-B115-E4E1029EF55F}"/>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2" xr:uid="{0DECBF8C-367A-45E5-B0EE-F5C60B1557BB}"/>
    <cellStyle name="40% - Accent6 3 6 2 3" xfId="12627" xr:uid="{4E639F97-9B8E-4E1C-B38A-74FF029FF022}"/>
    <cellStyle name="40% - Accent6 3 6 3" xfId="6250" xr:uid="{00000000-0005-0000-0000-000056070000}"/>
    <cellStyle name="40% - Accent6 3 6 3 2" xfId="14697" xr:uid="{B90AA7D0-3ECB-4ECA-8210-06B37D6CABFC}"/>
    <cellStyle name="40% - Accent6 3 6 4" xfId="10482" xr:uid="{BEDFA30B-D8DF-480D-9B61-192C42D301DA}"/>
    <cellStyle name="40% - Accent6 3 7" xfId="2357" xr:uid="{00000000-0005-0000-0000-000057070000}"/>
    <cellStyle name="40% - Accent6 3 7 2" xfId="6663" xr:uid="{00000000-0005-0000-0000-000058070000}"/>
    <cellStyle name="40% - Accent6 3 7 2 2" xfId="15110" xr:uid="{FC261641-1737-42E5-9A0D-47FD52355B47}"/>
    <cellStyle name="40% - Accent6 3 7 3" xfId="10895" xr:uid="{47A87C2A-2A21-41F8-9E19-1B24B16A581B}"/>
    <cellStyle name="40% - Accent6 3 8" xfId="4597" xr:uid="{00000000-0005-0000-0000-000059070000}"/>
    <cellStyle name="40% - Accent6 3 8 2" xfId="13044" xr:uid="{6C70D14B-FF43-42B6-855A-CBA8F7B24D23}"/>
    <cellStyle name="40% - Accent6 3 9" xfId="8829" xr:uid="{76D1C9EB-3772-4556-94D0-C7E4ED7C6B3A}"/>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5" xr:uid="{71D4F8FF-5DCA-461B-BD16-E4E0B3A174F7}"/>
    <cellStyle name="40% - Accent6 4 2 2 3" xfId="11390" xr:uid="{29CDC74F-BF8C-4FFE-B70A-72BB4AD5D411}"/>
    <cellStyle name="40% - Accent6 4 2 3" xfId="5013" xr:uid="{00000000-0005-0000-0000-00005E070000}"/>
    <cellStyle name="40% - Accent6 4 2 3 2" xfId="13460" xr:uid="{3A43290C-376B-461F-A23A-7B995D649452}"/>
    <cellStyle name="40% - Accent6 4 2 4" xfId="9245" xr:uid="{003290FE-5DD5-4084-AD6E-59BA251C7D42}"/>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18" xr:uid="{755E1522-A81F-4366-9835-E7FC197B5D74}"/>
    <cellStyle name="40% - Accent6 4 3 2 3" xfId="11803" xr:uid="{8E598BC3-72DA-4AC7-92BA-09803C112B40}"/>
    <cellStyle name="40% - Accent6 4 3 3" xfId="5426" xr:uid="{00000000-0005-0000-0000-000062070000}"/>
    <cellStyle name="40% - Accent6 4 3 3 2" xfId="13873" xr:uid="{4F695073-FD48-4383-9A2D-CBD3D75FC178}"/>
    <cellStyle name="40% - Accent6 4 3 4" xfId="9658" xr:uid="{537F2694-6CFA-47DC-AD0B-745099465D28}"/>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1" xr:uid="{724B5418-84AB-4DF6-BCC0-4ECF7B39F212}"/>
    <cellStyle name="40% - Accent6 4 4 2 3" xfId="12216" xr:uid="{6A4C7236-44F4-4709-9A52-6C469C5325CD}"/>
    <cellStyle name="40% - Accent6 4 4 3" xfId="5839" xr:uid="{00000000-0005-0000-0000-000066070000}"/>
    <cellStyle name="40% - Accent6 4 4 3 2" xfId="14286" xr:uid="{0AC2E23E-91C5-4198-AA76-3978C552919D}"/>
    <cellStyle name="40% - Accent6 4 4 4" xfId="10071" xr:uid="{7B44DCC8-DCD0-431D-862C-CD6F3125F5A6}"/>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4" xr:uid="{1A953507-D3B9-48B3-AB7E-EC1C571CAE83}"/>
    <cellStyle name="40% - Accent6 4 5 2 3" xfId="12629" xr:uid="{502E833D-107A-44A5-8A5C-6D4516D3E4DD}"/>
    <cellStyle name="40% - Accent6 4 5 3" xfId="6252" xr:uid="{00000000-0005-0000-0000-00006A070000}"/>
    <cellStyle name="40% - Accent6 4 5 3 2" xfId="14699" xr:uid="{0843575D-FAEA-4AE2-A660-366906B5C22D}"/>
    <cellStyle name="40% - Accent6 4 5 4" xfId="10484" xr:uid="{9CA06EDF-B8F1-48B4-B06F-60F61B14035B}"/>
    <cellStyle name="40% - Accent6 4 6" xfId="2359" xr:uid="{00000000-0005-0000-0000-00006B070000}"/>
    <cellStyle name="40% - Accent6 4 6 2" xfId="6665" xr:uid="{00000000-0005-0000-0000-00006C070000}"/>
    <cellStyle name="40% - Accent6 4 6 2 2" xfId="15112" xr:uid="{25CF89AF-647F-478D-AAAE-ADB9A8E5DDDC}"/>
    <cellStyle name="40% - Accent6 4 6 3" xfId="10897" xr:uid="{E58EF356-8043-440E-B61B-D2952AC9E381}"/>
    <cellStyle name="40% - Accent6 4 7" xfId="4599" xr:uid="{00000000-0005-0000-0000-00006D070000}"/>
    <cellStyle name="40% - Accent6 4 7 2" xfId="13046" xr:uid="{4CB1A190-132D-44A1-A639-812078218B31}"/>
    <cellStyle name="40% - Accent6 4 8" xfId="8831" xr:uid="{CD609775-6769-4439-9409-009C167F73EC}"/>
    <cellStyle name="40% - Accent6 5" xfId="658" xr:uid="{00000000-0005-0000-0000-00006E070000}"/>
    <cellStyle name="40% - Accent6 5 2" xfId="2929" xr:uid="{00000000-0005-0000-0000-00006F070000}"/>
    <cellStyle name="40% - Accent6 5 2 2" xfId="7151" xr:uid="{00000000-0005-0000-0000-000070070000}"/>
    <cellStyle name="40% - Accent6 5 2 2 2" xfId="15598" xr:uid="{F0C53708-F7F8-44C3-A41E-F1255ACB4D19}"/>
    <cellStyle name="40% - Accent6 5 2 3" xfId="11383" xr:uid="{0CD4FE5A-F838-4FE2-96A9-0F6AA55F06C9}"/>
    <cellStyle name="40% - Accent6 5 3" xfId="5006" xr:uid="{00000000-0005-0000-0000-000071070000}"/>
    <cellStyle name="40% - Accent6 5 3 2" xfId="13453" xr:uid="{9775E172-000D-4152-B3F9-BC40467203F4}"/>
    <cellStyle name="40% - Accent6 5 4" xfId="9238" xr:uid="{90A9BEFA-9E5F-4CE5-869A-C39ECC7BF704}"/>
    <cellStyle name="40% - Accent6 6" xfId="1111" xr:uid="{00000000-0005-0000-0000-000072070000}"/>
    <cellStyle name="40% - Accent6 6 2" xfId="3342" xr:uid="{00000000-0005-0000-0000-000073070000}"/>
    <cellStyle name="40% - Accent6 6 2 2" xfId="7564" xr:uid="{00000000-0005-0000-0000-000074070000}"/>
    <cellStyle name="40% - Accent6 6 2 2 2" xfId="16011" xr:uid="{0800E0F0-4424-461A-A170-01F4A4471538}"/>
    <cellStyle name="40% - Accent6 6 2 3" xfId="11796" xr:uid="{F6AB749A-AA7A-4E15-AB5D-D88C55A4228D}"/>
    <cellStyle name="40% - Accent6 6 3" xfId="5419" xr:uid="{00000000-0005-0000-0000-000075070000}"/>
    <cellStyle name="40% - Accent6 6 3 2" xfId="13866" xr:uid="{7A8B61EF-2508-4E94-B97A-5B5627A68BC5}"/>
    <cellStyle name="40% - Accent6 6 4" xfId="9651" xr:uid="{E2EB6FF4-F774-4A69-B5DB-0A2284D8AA69}"/>
    <cellStyle name="40% - Accent6 7" xfId="1525" xr:uid="{00000000-0005-0000-0000-000076070000}"/>
    <cellStyle name="40% - Accent6 7 2" xfId="3755" xr:uid="{00000000-0005-0000-0000-000077070000}"/>
    <cellStyle name="40% - Accent6 7 2 2" xfId="7977" xr:uid="{00000000-0005-0000-0000-000078070000}"/>
    <cellStyle name="40% - Accent6 7 2 2 2" xfId="16424" xr:uid="{89666A7B-25B4-41A3-A17C-0510940F3B9B}"/>
    <cellStyle name="40% - Accent6 7 2 3" xfId="12209" xr:uid="{FEA20E41-F437-4CFB-B0B8-190352DEDDA2}"/>
    <cellStyle name="40% - Accent6 7 3" xfId="5832" xr:uid="{00000000-0005-0000-0000-000079070000}"/>
    <cellStyle name="40% - Accent6 7 3 2" xfId="14279" xr:uid="{867DFFB0-CED3-43AF-9ADE-E97DA5AD98D6}"/>
    <cellStyle name="40% - Accent6 7 4" xfId="10064" xr:uid="{D3F6B80A-D2C4-4650-9093-C660B9D5F77D}"/>
    <cellStyle name="40% - Accent6 8" xfId="1939" xr:uid="{00000000-0005-0000-0000-00007A070000}"/>
    <cellStyle name="40% - Accent6 8 2" xfId="4168" xr:uid="{00000000-0005-0000-0000-00007B070000}"/>
    <cellStyle name="40% - Accent6 8 2 2" xfId="8390" xr:uid="{00000000-0005-0000-0000-00007C070000}"/>
    <cellStyle name="40% - Accent6 8 2 2 2" xfId="16837" xr:uid="{B68657D3-ADC3-4EB2-A718-B7F3FA9F9574}"/>
    <cellStyle name="40% - Accent6 8 2 3" xfId="12622" xr:uid="{1E64A50C-7DF1-465D-9AFC-D1DF810B8ED3}"/>
    <cellStyle name="40% - Accent6 8 3" xfId="6245" xr:uid="{00000000-0005-0000-0000-00007D070000}"/>
    <cellStyle name="40% - Accent6 8 3 2" xfId="14692" xr:uid="{02832698-D758-4FB4-9C14-D764EA2E4E35}"/>
    <cellStyle name="40% - Accent6 8 4" xfId="10477" xr:uid="{1E9AF556-17DA-41AF-8D76-C721B8FE4471}"/>
    <cellStyle name="40% - Accent6 9" xfId="2352" xr:uid="{00000000-0005-0000-0000-00007E070000}"/>
    <cellStyle name="40% - Accent6 9 2" xfId="6658" xr:uid="{00000000-0005-0000-0000-00007F070000}"/>
    <cellStyle name="40% - Accent6 9 2 2" xfId="15105" xr:uid="{01DE63D6-A573-45A4-BABC-B51DAA30EE2F}"/>
    <cellStyle name="40% - Accent6 9 3" xfId="10890" xr:uid="{9414EA10-F2D0-490C-B761-68A50B48A795}"/>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0" xr:uid="{EAE7B6D7-4888-4BB9-9F2E-0107FDCBC164}"/>
    <cellStyle name="Comma 4 2 2 2 10 3" xfId="11215" xr:uid="{D067B2F9-1C8B-4CB9-9170-CFE7FF8093CF}"/>
    <cellStyle name="Comma 4 2 2 2 11" xfId="4600" xr:uid="{00000000-0005-0000-0000-0000A3070000}"/>
    <cellStyle name="Comma 4 2 2 2 11 2" xfId="13047" xr:uid="{EDB47ADE-27CC-4799-BECC-C8B7887B865F}"/>
    <cellStyle name="Comma 4 2 2 2 12" xfId="8832" xr:uid="{8D269290-2437-48E6-BFBE-E2D8D2D55082}"/>
    <cellStyle name="Comma 4 2 2 2 2" xfId="129" xr:uid="{00000000-0005-0000-0000-0000A4070000}"/>
    <cellStyle name="Comma 4 2 2 2 2 10" xfId="4601" xr:uid="{00000000-0005-0000-0000-0000A5070000}"/>
    <cellStyle name="Comma 4 2 2 2 2 10 2" xfId="13048" xr:uid="{4F56E07A-5091-40B2-A542-DB0A7F319AA2}"/>
    <cellStyle name="Comma 4 2 2 2 2 11" xfId="8833" xr:uid="{0F63D77B-0609-4602-B99B-84CB86A063A0}"/>
    <cellStyle name="Comma 4 2 2 2 2 2" xfId="130" xr:uid="{00000000-0005-0000-0000-0000A6070000}"/>
    <cellStyle name="Comma 4 2 2 2 2 2 10" xfId="8834" xr:uid="{78DFB3F3-27F8-4C21-BE51-34135CA874A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08" xr:uid="{B07C8EB9-B416-4D58-AD55-E87CBC835211}"/>
    <cellStyle name="Comma 4 2 2 2 2 2 2 2 3" xfId="11393" xr:uid="{CC513078-9343-44A1-BFE5-084FF7A500F8}"/>
    <cellStyle name="Comma 4 2 2 2 2 2 2 3" xfId="5016" xr:uid="{00000000-0005-0000-0000-0000AA070000}"/>
    <cellStyle name="Comma 4 2 2 2 2 2 2 3 2" xfId="13463" xr:uid="{8DE04EC1-45BD-4969-AC58-BB4674C17587}"/>
    <cellStyle name="Comma 4 2 2 2 2 2 2 4" xfId="9248" xr:uid="{D19EC0B9-8502-4373-A428-6565D5B6271A}"/>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1" xr:uid="{9461D05C-C0DA-4250-9CC7-4BC3AF2F8B43}"/>
    <cellStyle name="Comma 4 2 2 2 2 2 3 2 3" xfId="11806" xr:uid="{B6BABA1B-F3AA-41D3-ACD5-FB5AD552440E}"/>
    <cellStyle name="Comma 4 2 2 2 2 2 3 3" xfId="5429" xr:uid="{00000000-0005-0000-0000-0000AE070000}"/>
    <cellStyle name="Comma 4 2 2 2 2 2 3 3 2" xfId="13876" xr:uid="{370FC5C4-D985-4878-B078-3BAD45069663}"/>
    <cellStyle name="Comma 4 2 2 2 2 2 3 4" xfId="9661" xr:uid="{B4B858E3-93FD-4C12-B75A-62AA73C6BAA9}"/>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4" xr:uid="{4836EAB3-8BA8-4F1D-A514-99B7E6FE8D00}"/>
    <cellStyle name="Comma 4 2 2 2 2 2 4 2 3" xfId="12219" xr:uid="{8C6319F1-1068-46E5-8F62-9CBD20EC405B}"/>
    <cellStyle name="Comma 4 2 2 2 2 2 4 3" xfId="5842" xr:uid="{00000000-0005-0000-0000-0000B2070000}"/>
    <cellStyle name="Comma 4 2 2 2 2 2 4 3 2" xfId="14289" xr:uid="{FE6351A6-E779-426F-9538-9E5B176EF572}"/>
    <cellStyle name="Comma 4 2 2 2 2 2 4 4" xfId="10074" xr:uid="{43A9D7B6-9E81-448B-A901-FCB61A5BC49D}"/>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47" xr:uid="{8DB0676B-D28B-4F62-A414-DF47696182E6}"/>
    <cellStyle name="Comma 4 2 2 2 2 2 5 2 3" xfId="12632" xr:uid="{FF960B73-ED9C-4013-B9EA-E32CCFA86A74}"/>
    <cellStyle name="Comma 4 2 2 2 2 2 5 3" xfId="6255" xr:uid="{00000000-0005-0000-0000-0000B6070000}"/>
    <cellStyle name="Comma 4 2 2 2 2 2 5 3 2" xfId="14702" xr:uid="{A19C54A2-8577-45F1-8FFD-3DD596C53C22}"/>
    <cellStyle name="Comma 4 2 2 2 2 2 5 4" xfId="10487" xr:uid="{F976B2A1-A836-4860-BB9E-D43A7E4F0AB7}"/>
    <cellStyle name="Comma 4 2 2 2 2 2 6" xfId="2384" xr:uid="{00000000-0005-0000-0000-0000B7070000}"/>
    <cellStyle name="Comma 4 2 2 2 2 2 6 2" xfId="6668" xr:uid="{00000000-0005-0000-0000-0000B8070000}"/>
    <cellStyle name="Comma 4 2 2 2 2 2 6 2 2" xfId="15115" xr:uid="{88DF602D-CDFB-4FC8-B054-7B1FCBFF95DC}"/>
    <cellStyle name="Comma 4 2 2 2 2 2 6 3" xfId="10900" xr:uid="{42508125-F6CB-42A8-A9B7-45E10666AC12}"/>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2" xr:uid="{2D9B935A-B49B-4393-92A3-23E5A4DBA5CE}"/>
    <cellStyle name="Comma 4 2 2 2 2 2 8 3" xfId="11217" xr:uid="{5DE3D0B2-4A4D-4E9C-88DF-AD3772235FE7}"/>
    <cellStyle name="Comma 4 2 2 2 2 2 9" xfId="4602" xr:uid="{00000000-0005-0000-0000-0000BC070000}"/>
    <cellStyle name="Comma 4 2 2 2 2 2 9 2" xfId="13049" xr:uid="{F3478CEC-D15C-4F35-A91C-739626F112F0}"/>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07" xr:uid="{A25FDF97-E1C7-4129-80A9-70183DECDB6F}"/>
    <cellStyle name="Comma 4 2 2 2 2 3 2 3" xfId="11392" xr:uid="{4F80DF05-BCB2-48CC-970D-304CC71E72B3}"/>
    <cellStyle name="Comma 4 2 2 2 2 3 3" xfId="5015" xr:uid="{00000000-0005-0000-0000-0000C0070000}"/>
    <cellStyle name="Comma 4 2 2 2 2 3 3 2" xfId="13462" xr:uid="{40F896AD-3638-46CD-A633-12F1D832AB39}"/>
    <cellStyle name="Comma 4 2 2 2 2 3 4" xfId="9247" xr:uid="{EE5BB91A-756F-40AC-8642-DF155CD9AEAF}"/>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0" xr:uid="{8FB5B12D-82A6-4A03-B47D-83EA5E976530}"/>
    <cellStyle name="Comma 4 2 2 2 2 4 2 3" xfId="11805" xr:uid="{57BD5758-0817-40F6-8F3E-F97D5BAA86D6}"/>
    <cellStyle name="Comma 4 2 2 2 2 4 3" xfId="5428" xr:uid="{00000000-0005-0000-0000-0000C4070000}"/>
    <cellStyle name="Comma 4 2 2 2 2 4 3 2" xfId="13875" xr:uid="{BB52FADC-6F6D-4545-8A6D-FDF796D54AD0}"/>
    <cellStyle name="Comma 4 2 2 2 2 4 4" xfId="9660" xr:uid="{5DFEEE87-40A8-4016-B1C1-73C9DAD02C36}"/>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3" xr:uid="{9F761E03-19A4-4A16-AD16-A5CFA2812D91}"/>
    <cellStyle name="Comma 4 2 2 2 2 5 2 3" xfId="12218" xr:uid="{7983CA1E-79B0-4BE5-9AC2-7352FE045058}"/>
    <cellStyle name="Comma 4 2 2 2 2 5 3" xfId="5841" xr:uid="{00000000-0005-0000-0000-0000C8070000}"/>
    <cellStyle name="Comma 4 2 2 2 2 5 3 2" xfId="14288" xr:uid="{D5ED970A-C848-48ED-91E2-D4B2C03BE9CD}"/>
    <cellStyle name="Comma 4 2 2 2 2 5 4" xfId="10073" xr:uid="{5CFB7732-5C43-4591-B202-522BB748E643}"/>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6" xr:uid="{FCBE6601-8122-4B3D-9BF1-3ADAD590F2F6}"/>
    <cellStyle name="Comma 4 2 2 2 2 6 2 3" xfId="12631" xr:uid="{DF027773-2C1F-4C0C-8B08-B4E53C2EFE85}"/>
    <cellStyle name="Comma 4 2 2 2 2 6 3" xfId="6254" xr:uid="{00000000-0005-0000-0000-0000CC070000}"/>
    <cellStyle name="Comma 4 2 2 2 2 6 3 2" xfId="14701" xr:uid="{450CF98F-AE03-4661-80B8-2D8B56713500}"/>
    <cellStyle name="Comma 4 2 2 2 2 6 4" xfId="10486" xr:uid="{6CF3BC25-C5E3-4A25-8913-5D5B15A57047}"/>
    <cellStyle name="Comma 4 2 2 2 2 7" xfId="2383" xr:uid="{00000000-0005-0000-0000-0000CD070000}"/>
    <cellStyle name="Comma 4 2 2 2 2 7 2" xfId="6667" xr:uid="{00000000-0005-0000-0000-0000CE070000}"/>
    <cellStyle name="Comma 4 2 2 2 2 7 2 2" xfId="15114" xr:uid="{DBD2EDA0-8209-4282-B834-AF3079241E81}"/>
    <cellStyle name="Comma 4 2 2 2 2 7 3" xfId="10899" xr:uid="{50C25E0E-08EE-451F-B590-0E66629449C4}"/>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1" xr:uid="{5EDCA104-4E78-4928-9775-5BBA9FA6ECBF}"/>
    <cellStyle name="Comma 4 2 2 2 2 9 3" xfId="11216" xr:uid="{C79CC0E3-9738-45BB-9C74-63662CFCC38D}"/>
    <cellStyle name="Comma 4 2 2 2 3" xfId="131" xr:uid="{00000000-0005-0000-0000-0000D2070000}"/>
    <cellStyle name="Comma 4 2 2 2 3 10" xfId="8835" xr:uid="{AA369640-AE9E-4CBE-9959-848A9437E594}"/>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09" xr:uid="{691BF689-F8F5-4478-87D9-9950525A8AFE}"/>
    <cellStyle name="Comma 4 2 2 2 3 2 2 3" xfId="11394" xr:uid="{8208EC8B-128E-4E0B-926E-350777AD7924}"/>
    <cellStyle name="Comma 4 2 2 2 3 2 3" xfId="5017" xr:uid="{00000000-0005-0000-0000-0000D6070000}"/>
    <cellStyle name="Comma 4 2 2 2 3 2 3 2" xfId="13464" xr:uid="{BDC54C0B-F0A0-45A0-B43C-3A0DCC1C4E9F}"/>
    <cellStyle name="Comma 4 2 2 2 3 2 4" xfId="9249" xr:uid="{3A3E331C-A516-4BB8-9A78-8D835AC24F41}"/>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2" xr:uid="{8A079B21-F646-4975-88BC-916F0141CC01}"/>
    <cellStyle name="Comma 4 2 2 2 3 3 2 3" xfId="11807" xr:uid="{BFE7C646-8C49-4F57-B51F-1D198A2AE449}"/>
    <cellStyle name="Comma 4 2 2 2 3 3 3" xfId="5430" xr:uid="{00000000-0005-0000-0000-0000DA070000}"/>
    <cellStyle name="Comma 4 2 2 2 3 3 3 2" xfId="13877" xr:uid="{2DF7AA9A-6C5A-4407-9A13-4D5E8296DEF6}"/>
    <cellStyle name="Comma 4 2 2 2 3 3 4" xfId="9662" xr:uid="{B20CD2D9-39E5-4F89-A930-D8313947DF67}"/>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5" xr:uid="{78F78D05-B2EC-4E2A-88AF-58A9EB3D8D19}"/>
    <cellStyle name="Comma 4 2 2 2 3 4 2 3" xfId="12220" xr:uid="{787DF7A4-C5AA-4C34-9D59-8B16D4BBEEE8}"/>
    <cellStyle name="Comma 4 2 2 2 3 4 3" xfId="5843" xr:uid="{00000000-0005-0000-0000-0000DE070000}"/>
    <cellStyle name="Comma 4 2 2 2 3 4 3 2" xfId="14290" xr:uid="{E439BB6F-3F27-41C7-85FD-90FCCC9C7992}"/>
    <cellStyle name="Comma 4 2 2 2 3 4 4" xfId="10075" xr:uid="{00DA595A-6DF5-4874-AA00-B21AC21B7C2C}"/>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48" xr:uid="{9EEA32F7-3CBF-4ECA-9F97-225AA6EF0D2D}"/>
    <cellStyle name="Comma 4 2 2 2 3 5 2 3" xfId="12633" xr:uid="{9D090FD7-2291-4C88-B6F0-D8B3537A9CAA}"/>
    <cellStyle name="Comma 4 2 2 2 3 5 3" xfId="6256" xr:uid="{00000000-0005-0000-0000-0000E2070000}"/>
    <cellStyle name="Comma 4 2 2 2 3 5 3 2" xfId="14703" xr:uid="{30213FA4-BBD0-433E-AD96-F9AB75214FBD}"/>
    <cellStyle name="Comma 4 2 2 2 3 5 4" xfId="10488" xr:uid="{26CBB7C3-0E3E-458F-8557-DE60F7C89830}"/>
    <cellStyle name="Comma 4 2 2 2 3 6" xfId="2385" xr:uid="{00000000-0005-0000-0000-0000E3070000}"/>
    <cellStyle name="Comma 4 2 2 2 3 6 2" xfId="6669" xr:uid="{00000000-0005-0000-0000-0000E4070000}"/>
    <cellStyle name="Comma 4 2 2 2 3 6 2 2" xfId="15116" xr:uid="{929066E7-0A38-40D1-89AB-55CE57094064}"/>
    <cellStyle name="Comma 4 2 2 2 3 6 3" xfId="10901" xr:uid="{527B9BE4-C8F0-484A-979F-5BAC9B459FC2}"/>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3" xr:uid="{0A4E42AD-4207-4E02-BAC8-DCD4A595974D}"/>
    <cellStyle name="Comma 4 2 2 2 3 8 3" xfId="11218" xr:uid="{12F95186-F97D-4C00-8812-142DBB7DC13C}"/>
    <cellStyle name="Comma 4 2 2 2 3 9" xfId="4603" xr:uid="{00000000-0005-0000-0000-0000E8070000}"/>
    <cellStyle name="Comma 4 2 2 2 3 9 2" xfId="13050" xr:uid="{7E101145-3838-4A1A-99B6-08A52CC502AE}"/>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6" xr:uid="{6BB560CC-C367-4ED9-945A-66CD8E27AFD1}"/>
    <cellStyle name="Comma 4 2 2 2 4 2 3" xfId="11391" xr:uid="{5B6FA433-7B98-4F84-80CE-539B32BA5F39}"/>
    <cellStyle name="Comma 4 2 2 2 4 3" xfId="5014" xr:uid="{00000000-0005-0000-0000-0000EC070000}"/>
    <cellStyle name="Comma 4 2 2 2 4 3 2" xfId="13461" xr:uid="{3731442B-8929-4104-AD85-A9738A2D9E32}"/>
    <cellStyle name="Comma 4 2 2 2 4 4" xfId="9246" xr:uid="{8DB00963-992B-45E3-9EB1-F3090C2DE0EB}"/>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19" xr:uid="{6C5EA301-6B98-425A-9C9F-D933916FF3C2}"/>
    <cellStyle name="Comma 4 2 2 2 5 2 3" xfId="11804" xr:uid="{4FCA0778-D562-4918-B28B-BFFDE0A0C8AE}"/>
    <cellStyle name="Comma 4 2 2 2 5 3" xfId="5427" xr:uid="{00000000-0005-0000-0000-0000F0070000}"/>
    <cellStyle name="Comma 4 2 2 2 5 3 2" xfId="13874" xr:uid="{EDE903CC-8C8E-4DF8-8441-A1414416DCC8}"/>
    <cellStyle name="Comma 4 2 2 2 5 4" xfId="9659" xr:uid="{A7F81A11-3165-499D-857E-362C18E26A4C}"/>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2" xr:uid="{E9E59824-3415-4039-9040-B621C59B92E7}"/>
    <cellStyle name="Comma 4 2 2 2 6 2 3" xfId="12217" xr:uid="{CDA9BF6C-ACD3-43E3-9016-C1ECDE78B327}"/>
    <cellStyle name="Comma 4 2 2 2 6 3" xfId="5840" xr:uid="{00000000-0005-0000-0000-0000F4070000}"/>
    <cellStyle name="Comma 4 2 2 2 6 3 2" xfId="14287" xr:uid="{3D2BEDC4-D4D7-4736-BE03-2E6ACF330172}"/>
    <cellStyle name="Comma 4 2 2 2 6 4" xfId="10072" xr:uid="{AEAB1642-635E-4D6E-85FA-CF02261B5FBB}"/>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5" xr:uid="{08B7B88E-922C-48D3-BE53-691F4BDAA2C8}"/>
    <cellStyle name="Comma 4 2 2 2 7 2 3" xfId="12630" xr:uid="{821B8DC5-447A-41B1-8F7B-D69D16EF8137}"/>
    <cellStyle name="Comma 4 2 2 2 7 3" xfId="6253" xr:uid="{00000000-0005-0000-0000-0000F8070000}"/>
    <cellStyle name="Comma 4 2 2 2 7 3 2" xfId="14700" xr:uid="{AC8397EB-C6BC-426B-9758-5EF832F7DC3F}"/>
    <cellStyle name="Comma 4 2 2 2 7 4" xfId="10485" xr:uid="{CC770667-C2BF-4DDB-9181-DA0E8CAB6FA7}"/>
    <cellStyle name="Comma 4 2 2 2 8" xfId="2382" xr:uid="{00000000-0005-0000-0000-0000F9070000}"/>
    <cellStyle name="Comma 4 2 2 2 8 2" xfId="6666" xr:uid="{00000000-0005-0000-0000-0000FA070000}"/>
    <cellStyle name="Comma 4 2 2 2 8 2 2" xfId="15113" xr:uid="{D496D462-D98E-4931-A4C0-7769DC0EC58A}"/>
    <cellStyle name="Comma 4 2 2 2 8 3" xfId="10898" xr:uid="{8E0F475D-119C-4015-9308-B6E1972B060C}"/>
    <cellStyle name="Comma 4 2 2 2 9" xfId="2381" xr:uid="{00000000-0005-0000-0000-0000FB070000}"/>
    <cellStyle name="Comma 4 2 2 3" xfId="132" xr:uid="{00000000-0005-0000-0000-0000FC070000}"/>
    <cellStyle name="Comma 4 2 2 3 10" xfId="4604" xr:uid="{00000000-0005-0000-0000-0000FD070000}"/>
    <cellStyle name="Comma 4 2 2 3 10 2" xfId="13051" xr:uid="{D4A549C2-4A90-4547-8182-FF58EDFC50B9}"/>
    <cellStyle name="Comma 4 2 2 3 11" xfId="8836" xr:uid="{620E49D7-AB21-48BA-B7E7-FCA3155CA37F}"/>
    <cellStyle name="Comma 4 2 2 3 2" xfId="133" xr:uid="{00000000-0005-0000-0000-0000FE070000}"/>
    <cellStyle name="Comma 4 2 2 3 2 10" xfId="8837" xr:uid="{E1693CB9-ABDF-4729-A3A2-23382F6450F0}"/>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1" xr:uid="{8393E298-5775-43D1-972E-AC3FCEB98E07}"/>
    <cellStyle name="Comma 4 2 2 3 2 2 2 3" xfId="11396" xr:uid="{E4B5E0A7-4EAC-4906-A09B-629CD1F7F848}"/>
    <cellStyle name="Comma 4 2 2 3 2 2 3" xfId="5019" xr:uid="{00000000-0005-0000-0000-000002080000}"/>
    <cellStyle name="Comma 4 2 2 3 2 2 3 2" xfId="13466" xr:uid="{91A28270-C382-45DE-A206-8B98A97169F4}"/>
    <cellStyle name="Comma 4 2 2 3 2 2 4" xfId="9251" xr:uid="{DEA818F2-A8DF-4203-848D-DBD0B7BB1396}"/>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4" xr:uid="{B0EA9EFA-9B40-49E1-B14B-3CD759E6AE20}"/>
    <cellStyle name="Comma 4 2 2 3 2 3 2 3" xfId="11809" xr:uid="{9CE7B15E-DEDB-451B-A27D-EC5B00BD7881}"/>
    <cellStyle name="Comma 4 2 2 3 2 3 3" xfId="5432" xr:uid="{00000000-0005-0000-0000-000006080000}"/>
    <cellStyle name="Comma 4 2 2 3 2 3 3 2" xfId="13879" xr:uid="{8BB962D3-DC5C-439F-B3D1-A4FB10DCAAD5}"/>
    <cellStyle name="Comma 4 2 2 3 2 3 4" xfId="9664" xr:uid="{C1C65F3A-013B-43BF-AB1F-05C787E8B9BC}"/>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37" xr:uid="{4A30F697-FDD9-4E93-854F-A768F13F9587}"/>
    <cellStyle name="Comma 4 2 2 3 2 4 2 3" xfId="12222" xr:uid="{D0DFC971-B989-4E3D-A8E1-90A2DDB532F7}"/>
    <cellStyle name="Comma 4 2 2 3 2 4 3" xfId="5845" xr:uid="{00000000-0005-0000-0000-00000A080000}"/>
    <cellStyle name="Comma 4 2 2 3 2 4 3 2" xfId="14292" xr:uid="{BE4F8A39-A225-4098-A7C6-FB1FB5C22BB3}"/>
    <cellStyle name="Comma 4 2 2 3 2 4 4" xfId="10077" xr:uid="{13128217-8E3C-4392-AB59-62F02948C9DC}"/>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0" xr:uid="{830D3C95-E446-4E85-BFC6-66234E4A26F3}"/>
    <cellStyle name="Comma 4 2 2 3 2 5 2 3" xfId="12635" xr:uid="{685A6590-4372-4BAA-88D9-7570445E5705}"/>
    <cellStyle name="Comma 4 2 2 3 2 5 3" xfId="6258" xr:uid="{00000000-0005-0000-0000-00000E080000}"/>
    <cellStyle name="Comma 4 2 2 3 2 5 3 2" xfId="14705" xr:uid="{4CB86810-03E9-4973-AEE7-7137F9FB6E3C}"/>
    <cellStyle name="Comma 4 2 2 3 2 5 4" xfId="10490" xr:uid="{AEC20B51-078E-4B34-823B-4CD311D090FD}"/>
    <cellStyle name="Comma 4 2 2 3 2 6" xfId="2387" xr:uid="{00000000-0005-0000-0000-00000F080000}"/>
    <cellStyle name="Comma 4 2 2 3 2 6 2" xfId="6671" xr:uid="{00000000-0005-0000-0000-000010080000}"/>
    <cellStyle name="Comma 4 2 2 3 2 6 2 2" xfId="15118" xr:uid="{FE684916-90C8-4B6F-8EC4-BF4AB64D4513}"/>
    <cellStyle name="Comma 4 2 2 3 2 6 3" xfId="10903" xr:uid="{ECE669F1-E2C6-4E81-83D1-34EC94AC076D}"/>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5" xr:uid="{3369C7FA-168F-4F49-932D-6836D6158635}"/>
    <cellStyle name="Comma 4 2 2 3 2 8 3" xfId="11220" xr:uid="{37FE5C6F-B373-4120-B0B2-5253B16EFBDD}"/>
    <cellStyle name="Comma 4 2 2 3 2 9" xfId="4605" xr:uid="{00000000-0005-0000-0000-000014080000}"/>
    <cellStyle name="Comma 4 2 2 3 2 9 2" xfId="13052" xr:uid="{FA29CB90-52EF-4A4C-9115-741CA1BF6308}"/>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0" xr:uid="{AF66A778-0CA2-46E2-9B81-58A3EB0A29D2}"/>
    <cellStyle name="Comma 4 2 2 3 3 2 3" xfId="11395" xr:uid="{8CA5B75B-F0EC-4DA6-8053-C24127C952DF}"/>
    <cellStyle name="Comma 4 2 2 3 3 3" xfId="5018" xr:uid="{00000000-0005-0000-0000-000018080000}"/>
    <cellStyle name="Comma 4 2 2 3 3 3 2" xfId="13465" xr:uid="{3F055B3A-380F-4CB7-8F4A-558442630A96}"/>
    <cellStyle name="Comma 4 2 2 3 3 4" xfId="9250" xr:uid="{178A1AAD-31E0-4857-9677-218B1D0319DA}"/>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3" xr:uid="{BB82B824-6C12-4128-998B-8DD718974521}"/>
    <cellStyle name="Comma 4 2 2 3 4 2 3" xfId="11808" xr:uid="{9A9B1831-EBA2-46D6-9621-296A90A189B1}"/>
    <cellStyle name="Comma 4 2 2 3 4 3" xfId="5431" xr:uid="{00000000-0005-0000-0000-00001C080000}"/>
    <cellStyle name="Comma 4 2 2 3 4 3 2" xfId="13878" xr:uid="{D623F9A4-4DD6-4477-83A3-9668F1861A60}"/>
    <cellStyle name="Comma 4 2 2 3 4 4" xfId="9663" xr:uid="{331972A5-407E-4130-AC51-C7F1920DAF59}"/>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6" xr:uid="{4ED5BAA8-027C-4854-B5B2-9B3B7CADDFA6}"/>
    <cellStyle name="Comma 4 2 2 3 5 2 3" xfId="12221" xr:uid="{84BEB6F5-98A0-4A88-AD24-B7E35D6FB6D7}"/>
    <cellStyle name="Comma 4 2 2 3 5 3" xfId="5844" xr:uid="{00000000-0005-0000-0000-000020080000}"/>
    <cellStyle name="Comma 4 2 2 3 5 3 2" xfId="14291" xr:uid="{005CE3AC-E724-494B-A366-7EA9DA016046}"/>
    <cellStyle name="Comma 4 2 2 3 5 4" xfId="10076" xr:uid="{BA3960FE-3D2F-407A-B095-C93F2B2CCAA2}"/>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49" xr:uid="{46FB61A2-1ED1-4ADB-BC6F-3620BAF215F6}"/>
    <cellStyle name="Comma 4 2 2 3 6 2 3" xfId="12634" xr:uid="{C4B2E63A-6B02-4EBA-8919-D9365A7BCF1D}"/>
    <cellStyle name="Comma 4 2 2 3 6 3" xfId="6257" xr:uid="{00000000-0005-0000-0000-000024080000}"/>
    <cellStyle name="Comma 4 2 2 3 6 3 2" xfId="14704" xr:uid="{780145D6-9C6E-4492-B32C-0A3E034EDCAC}"/>
    <cellStyle name="Comma 4 2 2 3 6 4" xfId="10489" xr:uid="{608625DB-E226-4FB8-A5AB-7BAD85C86BC6}"/>
    <cellStyle name="Comma 4 2 2 3 7" xfId="2386" xr:uid="{00000000-0005-0000-0000-000025080000}"/>
    <cellStyle name="Comma 4 2 2 3 7 2" xfId="6670" xr:uid="{00000000-0005-0000-0000-000026080000}"/>
    <cellStyle name="Comma 4 2 2 3 7 2 2" xfId="15117" xr:uid="{C1AA43B9-B3E7-4FE6-9BA1-22D1E5E565C2}"/>
    <cellStyle name="Comma 4 2 2 3 7 3" xfId="10902" xr:uid="{6712E53B-4AC9-4345-86F9-D5CC2FF37698}"/>
    <cellStyle name="Comma 4 2 2 3 8" xfId="2377" xr:uid="{00000000-0005-0000-0000-000027080000}"/>
    <cellStyle name="Comma 4 2 2 3 9" xfId="2764" xr:uid="{00000000-0005-0000-0000-000028080000}"/>
    <cellStyle name="Comma 4 2 2 3 9 2" xfId="6987" xr:uid="{00000000-0005-0000-0000-000029080000}"/>
    <cellStyle name="Comma 4 2 2 3 9 2 2" xfId="15434" xr:uid="{47C7EAA9-3C28-471B-A35D-618E7C5FC7F3}"/>
    <cellStyle name="Comma 4 2 2 3 9 3" xfId="11219" xr:uid="{2D92707C-4A3E-49B1-9829-622E6DB92A85}"/>
    <cellStyle name="Comma 4 2 2 4" xfId="134" xr:uid="{00000000-0005-0000-0000-00002A080000}"/>
    <cellStyle name="Comma 4 2 2 4 10" xfId="8838" xr:uid="{80018AA9-7A93-4020-ABBB-867D5F961CFF}"/>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2" xr:uid="{CC5DF5E2-7955-4910-928D-7248912B1AF1}"/>
    <cellStyle name="Comma 4 2 2 4 2 2 3" xfId="11397" xr:uid="{E4FFBC06-4E68-47A6-BBA7-58B51886CF00}"/>
    <cellStyle name="Comma 4 2 2 4 2 3" xfId="5020" xr:uid="{00000000-0005-0000-0000-00002E080000}"/>
    <cellStyle name="Comma 4 2 2 4 2 3 2" xfId="13467" xr:uid="{086CAB57-E63E-4813-9115-488B86D72C8A}"/>
    <cellStyle name="Comma 4 2 2 4 2 4" xfId="9252" xr:uid="{75D52FC4-0B1E-4E84-87B5-F62031BEFFB7}"/>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5" xr:uid="{C1269771-9EA4-4183-9EE4-E724DD20AB0A}"/>
    <cellStyle name="Comma 4 2 2 4 3 2 3" xfId="11810" xr:uid="{A1BA5D13-BFA7-4FF2-937D-BECB90E46572}"/>
    <cellStyle name="Comma 4 2 2 4 3 3" xfId="5433" xr:uid="{00000000-0005-0000-0000-000032080000}"/>
    <cellStyle name="Comma 4 2 2 4 3 3 2" xfId="13880" xr:uid="{E879DCAF-BC1F-47D6-8F16-4D616860F133}"/>
    <cellStyle name="Comma 4 2 2 4 3 4" xfId="9665" xr:uid="{523D0093-899B-4527-9F84-F51655061C5B}"/>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38" xr:uid="{30438645-F1B4-4B81-9703-C28301B37DE4}"/>
    <cellStyle name="Comma 4 2 2 4 4 2 3" xfId="12223" xr:uid="{72B98ED3-6E3F-439E-811D-92A6DB1E6F42}"/>
    <cellStyle name="Comma 4 2 2 4 4 3" xfId="5846" xr:uid="{00000000-0005-0000-0000-000036080000}"/>
    <cellStyle name="Comma 4 2 2 4 4 3 2" xfId="14293" xr:uid="{B26BAE97-AAC3-40AD-84C9-15DAB7690D99}"/>
    <cellStyle name="Comma 4 2 2 4 4 4" xfId="10078" xr:uid="{53147189-C8AC-41A4-8ED1-C4A11307F07F}"/>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1" xr:uid="{26871DD8-3C6B-4E79-89C7-711A9450881D}"/>
    <cellStyle name="Comma 4 2 2 4 5 2 3" xfId="12636" xr:uid="{A9E4D347-F464-4857-A180-797AD9F41841}"/>
    <cellStyle name="Comma 4 2 2 4 5 3" xfId="6259" xr:uid="{00000000-0005-0000-0000-00003A080000}"/>
    <cellStyle name="Comma 4 2 2 4 5 3 2" xfId="14706" xr:uid="{63109BE5-809B-42A1-BD07-EAAEDABECD5B}"/>
    <cellStyle name="Comma 4 2 2 4 5 4" xfId="10491" xr:uid="{3AF6C618-915B-4529-B545-AEF11A1D2BD0}"/>
    <cellStyle name="Comma 4 2 2 4 6" xfId="2388" xr:uid="{00000000-0005-0000-0000-00003B080000}"/>
    <cellStyle name="Comma 4 2 2 4 6 2" xfId="6672" xr:uid="{00000000-0005-0000-0000-00003C080000}"/>
    <cellStyle name="Comma 4 2 2 4 6 2 2" xfId="15119" xr:uid="{F1BCFC65-EB68-47C6-8694-2DCBC2A66799}"/>
    <cellStyle name="Comma 4 2 2 4 6 3" xfId="10904" xr:uid="{7C5C8FC8-2856-4669-B230-E1C04A522B78}"/>
    <cellStyle name="Comma 4 2 2 4 7" xfId="2375" xr:uid="{00000000-0005-0000-0000-00003D080000}"/>
    <cellStyle name="Comma 4 2 2 4 8" xfId="2766" xr:uid="{00000000-0005-0000-0000-00003E080000}"/>
    <cellStyle name="Comma 4 2 2 4 8 2" xfId="6989" xr:uid="{00000000-0005-0000-0000-00003F080000}"/>
    <cellStyle name="Comma 4 2 2 4 8 2 2" xfId="15436" xr:uid="{3292FCB2-3BEC-47BA-960F-8312815082EA}"/>
    <cellStyle name="Comma 4 2 2 4 8 3" xfId="11221" xr:uid="{BD7B1FFF-FC84-48FA-80F4-58A832BE6FEA}"/>
    <cellStyle name="Comma 4 2 2 4 9" xfId="4606" xr:uid="{00000000-0005-0000-0000-000040080000}"/>
    <cellStyle name="Comma 4 2 2 4 9 2" xfId="13053" xr:uid="{430F2020-140B-4AFB-A102-1FB29D31E9B4}"/>
    <cellStyle name="Comma 4 2 2 5" xfId="135" xr:uid="{00000000-0005-0000-0000-000041080000}"/>
    <cellStyle name="Comma 4 2 2 5 10" xfId="8839" xr:uid="{5B573362-82E7-4199-917F-71C5D86D0778}"/>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3" xr:uid="{7FBE00CC-26EF-4CC5-9729-248EEFD8F217}"/>
    <cellStyle name="Comma 4 2 2 5 2 2 3" xfId="11398" xr:uid="{95F4EFCB-984D-4F6E-AAE6-DCEE93E94D96}"/>
    <cellStyle name="Comma 4 2 2 5 2 3" xfId="5021" xr:uid="{00000000-0005-0000-0000-000045080000}"/>
    <cellStyle name="Comma 4 2 2 5 2 3 2" xfId="13468" xr:uid="{6011D2B7-E0B0-4151-8FD2-8F58708D58F7}"/>
    <cellStyle name="Comma 4 2 2 5 2 4" xfId="9253" xr:uid="{92FF09A7-AB37-4A71-8101-C34A06C6590B}"/>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6" xr:uid="{A40C7C83-5DE8-4EBF-8094-3D33E058A3C1}"/>
    <cellStyle name="Comma 4 2 2 5 3 2 3" xfId="11811" xr:uid="{E9EAFE80-F554-48EF-B5D7-92860861D030}"/>
    <cellStyle name="Comma 4 2 2 5 3 3" xfId="5434" xr:uid="{00000000-0005-0000-0000-000049080000}"/>
    <cellStyle name="Comma 4 2 2 5 3 3 2" xfId="13881" xr:uid="{2B9FB067-8FB3-4663-9C94-043F2D67A9FC}"/>
    <cellStyle name="Comma 4 2 2 5 3 4" xfId="9666" xr:uid="{438160E9-D657-4D2B-8B7C-8D1DE2DF41A0}"/>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39" xr:uid="{7408F6FD-1785-4A3F-A1C8-B2C0A93D29C5}"/>
    <cellStyle name="Comma 4 2 2 5 4 2 3" xfId="12224" xr:uid="{04F46E81-EA6C-4753-803F-89B6912D0AAA}"/>
    <cellStyle name="Comma 4 2 2 5 4 3" xfId="5847" xr:uid="{00000000-0005-0000-0000-00004D080000}"/>
    <cellStyle name="Comma 4 2 2 5 4 3 2" xfId="14294" xr:uid="{0305E710-2A63-4DB7-A069-0F8DEE0DADE4}"/>
    <cellStyle name="Comma 4 2 2 5 4 4" xfId="10079" xr:uid="{A39DF88F-B4E9-45B2-BE23-C00EEC6EEFE8}"/>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2" xr:uid="{360647D9-BB3B-4C2A-9DA9-7AC8B88FA521}"/>
    <cellStyle name="Comma 4 2 2 5 5 2 3" xfId="12637" xr:uid="{1EF28C38-6E09-4B00-A82F-67D76EB6A970}"/>
    <cellStyle name="Comma 4 2 2 5 5 3" xfId="6260" xr:uid="{00000000-0005-0000-0000-000051080000}"/>
    <cellStyle name="Comma 4 2 2 5 5 3 2" xfId="14707" xr:uid="{CF276767-38BF-482E-B2CC-3D19271EC255}"/>
    <cellStyle name="Comma 4 2 2 5 5 4" xfId="10492" xr:uid="{06B2BAE1-B6FC-4ADB-BE4F-4647871AEC27}"/>
    <cellStyle name="Comma 4 2 2 5 6" xfId="2389" xr:uid="{00000000-0005-0000-0000-000052080000}"/>
    <cellStyle name="Comma 4 2 2 5 6 2" xfId="6673" xr:uid="{00000000-0005-0000-0000-000053080000}"/>
    <cellStyle name="Comma 4 2 2 5 6 2 2" xfId="15120" xr:uid="{71AD16D0-6E92-42CD-ACB5-47CEAC0E74A7}"/>
    <cellStyle name="Comma 4 2 2 5 6 3" xfId="10905" xr:uid="{5BB6C2E7-1402-40B0-843D-3E671ED13307}"/>
    <cellStyle name="Comma 4 2 2 5 7" xfId="2374" xr:uid="{00000000-0005-0000-0000-000054080000}"/>
    <cellStyle name="Comma 4 2 2 5 8" xfId="2767" xr:uid="{00000000-0005-0000-0000-000055080000}"/>
    <cellStyle name="Comma 4 2 2 5 8 2" xfId="6990" xr:uid="{00000000-0005-0000-0000-000056080000}"/>
    <cellStyle name="Comma 4 2 2 5 8 2 2" xfId="15437" xr:uid="{E917BD23-3127-4EC2-BEAD-C89995335D1E}"/>
    <cellStyle name="Comma 4 2 2 5 8 3" xfId="11222" xr:uid="{C97E6A55-2F55-4EAA-92F6-A3711674CB18}"/>
    <cellStyle name="Comma 4 2 2 5 9" xfId="4607" xr:uid="{00000000-0005-0000-0000-000057080000}"/>
    <cellStyle name="Comma 4 2 2 5 9 2" xfId="13054" xr:uid="{2AB8E8CA-C5E7-4A75-990A-591EC862DC02}"/>
    <cellStyle name="Comma 4 2 3" xfId="136" xr:uid="{00000000-0005-0000-0000-000058080000}"/>
    <cellStyle name="Comma 4 2 3 10" xfId="2768" xr:uid="{00000000-0005-0000-0000-000059080000}"/>
    <cellStyle name="Comma 4 2 3 10 2" xfId="6991" xr:uid="{00000000-0005-0000-0000-00005A080000}"/>
    <cellStyle name="Comma 4 2 3 10 2 2" xfId="15438" xr:uid="{5CD7B343-13BC-4BB7-95D5-10C4BC7EDCDF}"/>
    <cellStyle name="Comma 4 2 3 10 3" xfId="11223" xr:uid="{F7EAAFF5-73D2-4986-9260-CC3C91B983E3}"/>
    <cellStyle name="Comma 4 2 3 11" xfId="4608" xr:uid="{00000000-0005-0000-0000-00005B080000}"/>
    <cellStyle name="Comma 4 2 3 11 2" xfId="13055" xr:uid="{5CE1CDC5-1D86-48ED-88DE-89AAC4589B1A}"/>
    <cellStyle name="Comma 4 2 3 12" xfId="8840" xr:uid="{A190F948-C41C-4859-A7CB-22C098333EAD}"/>
    <cellStyle name="Comma 4 2 3 2" xfId="137" xr:uid="{00000000-0005-0000-0000-00005C080000}"/>
    <cellStyle name="Comma 4 2 3 2 10" xfId="4609" xr:uid="{00000000-0005-0000-0000-00005D080000}"/>
    <cellStyle name="Comma 4 2 3 2 10 2" xfId="13056" xr:uid="{E9E27F2F-999C-4C2A-AF92-E1152505B72B}"/>
    <cellStyle name="Comma 4 2 3 2 11" xfId="8841" xr:uid="{1ABE4461-2A5A-458B-8448-EC89D4BA999C}"/>
    <cellStyle name="Comma 4 2 3 2 2" xfId="138" xr:uid="{00000000-0005-0000-0000-00005E080000}"/>
    <cellStyle name="Comma 4 2 3 2 2 10" xfId="8842" xr:uid="{6639257D-C379-4D63-8872-48E6322CADD9}"/>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6" xr:uid="{003A6A00-F15E-4DD8-92CA-2083D30709ED}"/>
    <cellStyle name="Comma 4 2 3 2 2 2 2 3" xfId="11401" xr:uid="{0BF1453C-F854-448F-AFC1-04577EFE09E0}"/>
    <cellStyle name="Comma 4 2 3 2 2 2 3" xfId="5024" xr:uid="{00000000-0005-0000-0000-000062080000}"/>
    <cellStyle name="Comma 4 2 3 2 2 2 3 2" xfId="13471" xr:uid="{F3A7A277-E577-4A3B-9F82-E61280933FAE}"/>
    <cellStyle name="Comma 4 2 3 2 2 2 4" xfId="9256" xr:uid="{5A683986-BDE3-4CBF-9EAC-63DF474ADD45}"/>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29" xr:uid="{F82C68E1-140B-4076-906B-E388FDBF00D2}"/>
    <cellStyle name="Comma 4 2 3 2 2 3 2 3" xfId="11814" xr:uid="{19008283-8D61-45BB-8CC9-0861E5CF9FCB}"/>
    <cellStyle name="Comma 4 2 3 2 2 3 3" xfId="5437" xr:uid="{00000000-0005-0000-0000-000066080000}"/>
    <cellStyle name="Comma 4 2 3 2 2 3 3 2" xfId="13884" xr:uid="{0E298F40-4F10-4DA2-AC38-47F1BD1769D9}"/>
    <cellStyle name="Comma 4 2 3 2 2 3 4" xfId="9669" xr:uid="{46877074-A632-4B7A-9996-41B8C1633165}"/>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2" xr:uid="{E431F93E-7E9E-4BFE-A369-F20FA4737DE5}"/>
    <cellStyle name="Comma 4 2 3 2 2 4 2 3" xfId="12227" xr:uid="{AAC388FE-A51B-4C22-BFCF-5E3451551F0E}"/>
    <cellStyle name="Comma 4 2 3 2 2 4 3" xfId="5850" xr:uid="{00000000-0005-0000-0000-00006A080000}"/>
    <cellStyle name="Comma 4 2 3 2 2 4 3 2" xfId="14297" xr:uid="{DF7FFFCA-FF30-4CC0-8BB4-8892CCF91A72}"/>
    <cellStyle name="Comma 4 2 3 2 2 4 4" xfId="10082" xr:uid="{EF8DB5D2-15D4-4AFF-9C3B-D62A264A701B}"/>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5" xr:uid="{34FC75BB-EE35-489F-94FD-EF561D632A6B}"/>
    <cellStyle name="Comma 4 2 3 2 2 5 2 3" xfId="12640" xr:uid="{45D71DB8-D5FD-4A31-93E9-C3449F67C79F}"/>
    <cellStyle name="Comma 4 2 3 2 2 5 3" xfId="6263" xr:uid="{00000000-0005-0000-0000-00006E080000}"/>
    <cellStyle name="Comma 4 2 3 2 2 5 3 2" xfId="14710" xr:uid="{7D21BBB3-CFE8-4F2A-995C-05F3B5B777FE}"/>
    <cellStyle name="Comma 4 2 3 2 2 5 4" xfId="10495" xr:uid="{B0BD393F-FFC7-4267-8008-5E5EF7678AF2}"/>
    <cellStyle name="Comma 4 2 3 2 2 6" xfId="2392" xr:uid="{00000000-0005-0000-0000-00006F080000}"/>
    <cellStyle name="Comma 4 2 3 2 2 6 2" xfId="6676" xr:uid="{00000000-0005-0000-0000-000070080000}"/>
    <cellStyle name="Comma 4 2 3 2 2 6 2 2" xfId="15123" xr:uid="{F44D283E-5688-4EDF-AC1D-C3F42159EE3B}"/>
    <cellStyle name="Comma 4 2 3 2 2 6 3" xfId="10908" xr:uid="{3FF86162-53E0-45ED-9EEE-BB6CBD6B1558}"/>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0" xr:uid="{B2A1E88A-61B0-4CA8-9F27-9B76AE3FF325}"/>
    <cellStyle name="Comma 4 2 3 2 2 8 3" xfId="11225" xr:uid="{C44004F7-EE6C-4A5B-A184-7E77B6186F46}"/>
    <cellStyle name="Comma 4 2 3 2 2 9" xfId="4610" xr:uid="{00000000-0005-0000-0000-000074080000}"/>
    <cellStyle name="Comma 4 2 3 2 2 9 2" xfId="13057" xr:uid="{577992EE-9403-4460-8A2E-3E70A32BE457}"/>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5" xr:uid="{03C399AD-89F5-4FFF-BFE5-6C737917EE33}"/>
    <cellStyle name="Comma 4 2 3 2 3 2 3" xfId="11400" xr:uid="{8EC345FD-4CF1-408A-9202-C62655669E22}"/>
    <cellStyle name="Comma 4 2 3 2 3 3" xfId="5023" xr:uid="{00000000-0005-0000-0000-000078080000}"/>
    <cellStyle name="Comma 4 2 3 2 3 3 2" xfId="13470" xr:uid="{7F011ACC-EC62-4A5F-88A5-3029A9139675}"/>
    <cellStyle name="Comma 4 2 3 2 3 4" xfId="9255" xr:uid="{37CB5884-968F-4342-A783-E6CD3F2E0541}"/>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28" xr:uid="{41DE9429-E67A-4275-A0D7-BDD089B94D3B}"/>
    <cellStyle name="Comma 4 2 3 2 4 2 3" xfId="11813" xr:uid="{ECB12142-C861-4409-BEE8-7AFBC0D704DA}"/>
    <cellStyle name="Comma 4 2 3 2 4 3" xfId="5436" xr:uid="{00000000-0005-0000-0000-00007C080000}"/>
    <cellStyle name="Comma 4 2 3 2 4 3 2" xfId="13883" xr:uid="{8C9AC6BC-31E5-4AF3-8E2F-D539605B6CD8}"/>
    <cellStyle name="Comma 4 2 3 2 4 4" xfId="9668" xr:uid="{0BF98F33-CF2D-46D0-956A-31F242CD12BB}"/>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1" xr:uid="{9682A5E0-46C0-4F2C-9DC2-066299008772}"/>
    <cellStyle name="Comma 4 2 3 2 5 2 3" xfId="12226" xr:uid="{CB1655A9-541B-4F65-8D6E-7392FDEB3E51}"/>
    <cellStyle name="Comma 4 2 3 2 5 3" xfId="5849" xr:uid="{00000000-0005-0000-0000-000080080000}"/>
    <cellStyle name="Comma 4 2 3 2 5 3 2" xfId="14296" xr:uid="{B30C5018-15BB-4CCB-9F8B-F197CE5CFB46}"/>
    <cellStyle name="Comma 4 2 3 2 5 4" xfId="10081" xr:uid="{92CC101B-AB4A-45AB-AF4A-72D9B8DD3A74}"/>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4" xr:uid="{19F20093-9BBD-4397-B483-74DD844CC137}"/>
    <cellStyle name="Comma 4 2 3 2 6 2 3" xfId="12639" xr:uid="{875DB410-94AE-4DC4-9FAE-672A256C2C66}"/>
    <cellStyle name="Comma 4 2 3 2 6 3" xfId="6262" xr:uid="{00000000-0005-0000-0000-000084080000}"/>
    <cellStyle name="Comma 4 2 3 2 6 3 2" xfId="14709" xr:uid="{B456C760-DC2D-4F9D-B0CF-C9E0C1C5A5A8}"/>
    <cellStyle name="Comma 4 2 3 2 6 4" xfId="10494" xr:uid="{CA2B577E-CE79-44D5-A2C6-049141E94A09}"/>
    <cellStyle name="Comma 4 2 3 2 7" xfId="2391" xr:uid="{00000000-0005-0000-0000-000085080000}"/>
    <cellStyle name="Comma 4 2 3 2 7 2" xfId="6675" xr:uid="{00000000-0005-0000-0000-000086080000}"/>
    <cellStyle name="Comma 4 2 3 2 7 2 2" xfId="15122" xr:uid="{C96AFCC7-5DD2-4175-A2CC-3999D64477C3}"/>
    <cellStyle name="Comma 4 2 3 2 7 3" xfId="10907" xr:uid="{9D0F1FD6-64DD-45B0-9585-2B40A88088A8}"/>
    <cellStyle name="Comma 4 2 3 2 8" xfId="2372" xr:uid="{00000000-0005-0000-0000-000087080000}"/>
    <cellStyle name="Comma 4 2 3 2 9" xfId="2769" xr:uid="{00000000-0005-0000-0000-000088080000}"/>
    <cellStyle name="Comma 4 2 3 2 9 2" xfId="6992" xr:uid="{00000000-0005-0000-0000-000089080000}"/>
    <cellStyle name="Comma 4 2 3 2 9 2 2" xfId="15439" xr:uid="{DBFD2980-EB6C-4F21-BCD2-91A75B84050F}"/>
    <cellStyle name="Comma 4 2 3 2 9 3" xfId="11224" xr:uid="{B3CCC25B-DC9C-4BD2-B780-BBF1ADD8D907}"/>
    <cellStyle name="Comma 4 2 3 3" xfId="139" xr:uid="{00000000-0005-0000-0000-00008A080000}"/>
    <cellStyle name="Comma 4 2 3 3 10" xfId="8843" xr:uid="{F86B6336-7519-4780-9F2B-AAB0402DE943}"/>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17" xr:uid="{F1265700-400D-4AC7-A74E-42D0D666478A}"/>
    <cellStyle name="Comma 4 2 3 3 2 2 3" xfId="11402" xr:uid="{EE003C94-F887-42AC-80AC-FAA777716265}"/>
    <cellStyle name="Comma 4 2 3 3 2 3" xfId="5025" xr:uid="{00000000-0005-0000-0000-00008E080000}"/>
    <cellStyle name="Comma 4 2 3 3 2 3 2" xfId="13472" xr:uid="{887B2FC4-B18A-40B6-BC3A-8F0E36EBF7B8}"/>
    <cellStyle name="Comma 4 2 3 3 2 4" xfId="9257" xr:uid="{C82FDBDC-5FAB-4EE0-941F-136595569A58}"/>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0" xr:uid="{B2331BAC-2D03-49DF-B737-FE1EBAE2811C}"/>
    <cellStyle name="Comma 4 2 3 3 3 2 3" xfId="11815" xr:uid="{2AE32BAA-B258-48CB-80F5-5D12C6EAF8E1}"/>
    <cellStyle name="Comma 4 2 3 3 3 3" xfId="5438" xr:uid="{00000000-0005-0000-0000-000092080000}"/>
    <cellStyle name="Comma 4 2 3 3 3 3 2" xfId="13885" xr:uid="{68D0F038-35A4-4AF4-B3F4-1E37DD789ACC}"/>
    <cellStyle name="Comma 4 2 3 3 3 4" xfId="9670" xr:uid="{E1919479-966E-48A6-B8BC-CCCC353488CF}"/>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3" xr:uid="{0C63E794-110C-413F-B04F-724562F87B37}"/>
    <cellStyle name="Comma 4 2 3 3 4 2 3" xfId="12228" xr:uid="{5E8D17B0-33D0-4695-8660-D749035EE275}"/>
    <cellStyle name="Comma 4 2 3 3 4 3" xfId="5851" xr:uid="{00000000-0005-0000-0000-000096080000}"/>
    <cellStyle name="Comma 4 2 3 3 4 3 2" xfId="14298" xr:uid="{1D6B4206-7332-481B-8125-A97F3AEA69BE}"/>
    <cellStyle name="Comma 4 2 3 3 4 4" xfId="10083" xr:uid="{D70337EE-1CDD-4B82-8E21-662A3ACBEFC3}"/>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6" xr:uid="{53AB8450-887A-4B4C-8E54-8ED9A20C9E35}"/>
    <cellStyle name="Comma 4 2 3 3 5 2 3" xfId="12641" xr:uid="{8C2C052B-DC53-4980-9522-A95540578345}"/>
    <cellStyle name="Comma 4 2 3 3 5 3" xfId="6264" xr:uid="{00000000-0005-0000-0000-00009A080000}"/>
    <cellStyle name="Comma 4 2 3 3 5 3 2" xfId="14711" xr:uid="{9DC75F1A-C9BD-48C9-AACA-BDE4406A8B3E}"/>
    <cellStyle name="Comma 4 2 3 3 5 4" xfId="10496" xr:uid="{98197961-4368-4AC9-9FEE-6A1C78EF69B2}"/>
    <cellStyle name="Comma 4 2 3 3 6" xfId="2393" xr:uid="{00000000-0005-0000-0000-00009B080000}"/>
    <cellStyle name="Comma 4 2 3 3 6 2" xfId="6677" xr:uid="{00000000-0005-0000-0000-00009C080000}"/>
    <cellStyle name="Comma 4 2 3 3 6 2 2" xfId="15124" xr:uid="{5B936931-BE7F-4A68-A05D-8F1A78F4552D}"/>
    <cellStyle name="Comma 4 2 3 3 6 3" xfId="10909" xr:uid="{A088DA8F-FC80-4C0D-A6A0-0C12EF457821}"/>
    <cellStyle name="Comma 4 2 3 3 7" xfId="2370" xr:uid="{00000000-0005-0000-0000-00009D080000}"/>
    <cellStyle name="Comma 4 2 3 3 8" xfId="2771" xr:uid="{00000000-0005-0000-0000-00009E080000}"/>
    <cellStyle name="Comma 4 2 3 3 8 2" xfId="6994" xr:uid="{00000000-0005-0000-0000-00009F080000}"/>
    <cellStyle name="Comma 4 2 3 3 8 2 2" xfId="15441" xr:uid="{D8AA3BDC-ABA0-4398-BD13-AA9E3B632E6E}"/>
    <cellStyle name="Comma 4 2 3 3 8 3" xfId="11226" xr:uid="{BB29E479-3080-4B6F-8424-60FA1C6A78E3}"/>
    <cellStyle name="Comma 4 2 3 3 9" xfId="4611" xr:uid="{00000000-0005-0000-0000-0000A0080000}"/>
    <cellStyle name="Comma 4 2 3 3 9 2" xfId="13058" xr:uid="{8ED627D3-4EAD-44D7-AB0C-9BA43CD30D19}"/>
    <cellStyle name="Comma 4 2 3 4" xfId="674" xr:uid="{00000000-0005-0000-0000-0000A1080000}"/>
    <cellStyle name="Comma 4 2 3 4 2" xfId="2945" xr:uid="{00000000-0005-0000-0000-0000A2080000}"/>
    <cellStyle name="Comma 4 2 3 4 2 2" xfId="7167" xr:uid="{00000000-0005-0000-0000-0000A3080000}"/>
    <cellStyle name="Comma 4 2 3 4 2 2 2" xfId="15614" xr:uid="{79CFF48B-BB2D-430B-A220-75A86B6B508A}"/>
    <cellStyle name="Comma 4 2 3 4 2 3" xfId="11399" xr:uid="{29480B16-5347-4EFD-95EC-6B8A81708928}"/>
    <cellStyle name="Comma 4 2 3 4 3" xfId="5022" xr:uid="{00000000-0005-0000-0000-0000A4080000}"/>
    <cellStyle name="Comma 4 2 3 4 3 2" xfId="13469" xr:uid="{F903146D-7CD9-4A12-A0F1-33419461731E}"/>
    <cellStyle name="Comma 4 2 3 4 4" xfId="9254" xr:uid="{BF61C16A-1606-45E6-9085-14500F5A2FF7}"/>
    <cellStyle name="Comma 4 2 3 5" xfId="1127" xr:uid="{00000000-0005-0000-0000-0000A5080000}"/>
    <cellStyle name="Comma 4 2 3 5 2" xfId="3358" xr:uid="{00000000-0005-0000-0000-0000A6080000}"/>
    <cellStyle name="Comma 4 2 3 5 2 2" xfId="7580" xr:uid="{00000000-0005-0000-0000-0000A7080000}"/>
    <cellStyle name="Comma 4 2 3 5 2 2 2" xfId="16027" xr:uid="{38AB1AD2-DB8B-4F3A-85FF-6F766E3A9597}"/>
    <cellStyle name="Comma 4 2 3 5 2 3" xfId="11812" xr:uid="{13FA7384-66CA-4B34-9EF3-3C388E20E942}"/>
    <cellStyle name="Comma 4 2 3 5 3" xfId="5435" xr:uid="{00000000-0005-0000-0000-0000A8080000}"/>
    <cellStyle name="Comma 4 2 3 5 3 2" xfId="13882" xr:uid="{21B3AA25-EAD7-4257-9D51-A0B0D6A41B3E}"/>
    <cellStyle name="Comma 4 2 3 5 4" xfId="9667" xr:uid="{DA03BCE1-9424-42C5-9F39-2D032DD7C95F}"/>
    <cellStyle name="Comma 4 2 3 6" xfId="1541" xr:uid="{00000000-0005-0000-0000-0000A9080000}"/>
    <cellStyle name="Comma 4 2 3 6 2" xfId="3771" xr:uid="{00000000-0005-0000-0000-0000AA080000}"/>
    <cellStyle name="Comma 4 2 3 6 2 2" xfId="7993" xr:uid="{00000000-0005-0000-0000-0000AB080000}"/>
    <cellStyle name="Comma 4 2 3 6 2 2 2" xfId="16440" xr:uid="{A13E8E4F-3641-4E00-A978-EF8CF6343AC9}"/>
    <cellStyle name="Comma 4 2 3 6 2 3" xfId="12225" xr:uid="{63B9A741-792C-49F3-9515-AD9CDD74A357}"/>
    <cellStyle name="Comma 4 2 3 6 3" xfId="5848" xr:uid="{00000000-0005-0000-0000-0000AC080000}"/>
    <cellStyle name="Comma 4 2 3 6 3 2" xfId="14295" xr:uid="{5079DA13-FA29-45BA-9E47-8B790BDE123A}"/>
    <cellStyle name="Comma 4 2 3 6 4" xfId="10080" xr:uid="{6252E54D-4D29-484D-B289-3595EA52ABFB}"/>
    <cellStyle name="Comma 4 2 3 7" xfId="1955" xr:uid="{00000000-0005-0000-0000-0000AD080000}"/>
    <cellStyle name="Comma 4 2 3 7 2" xfId="4184" xr:uid="{00000000-0005-0000-0000-0000AE080000}"/>
    <cellStyle name="Comma 4 2 3 7 2 2" xfId="8406" xr:uid="{00000000-0005-0000-0000-0000AF080000}"/>
    <cellStyle name="Comma 4 2 3 7 2 2 2" xfId="16853" xr:uid="{F895D5F6-8108-40E8-96F5-7C59541E4A0B}"/>
    <cellStyle name="Comma 4 2 3 7 2 3" xfId="12638" xr:uid="{DE5BD065-D2D7-41F7-8D08-BF2DFAA52099}"/>
    <cellStyle name="Comma 4 2 3 7 3" xfId="6261" xr:uid="{00000000-0005-0000-0000-0000B0080000}"/>
    <cellStyle name="Comma 4 2 3 7 3 2" xfId="14708" xr:uid="{CE17F9EE-1CD9-4CB3-B4F9-AE15D83998F0}"/>
    <cellStyle name="Comma 4 2 3 7 4" xfId="10493" xr:uid="{C4E568C7-FDF4-4276-863F-D6E8C60C5B5E}"/>
    <cellStyle name="Comma 4 2 3 8" xfId="2390" xr:uid="{00000000-0005-0000-0000-0000B1080000}"/>
    <cellStyle name="Comma 4 2 3 8 2" xfId="6674" xr:uid="{00000000-0005-0000-0000-0000B2080000}"/>
    <cellStyle name="Comma 4 2 3 8 2 2" xfId="15121" xr:uid="{CF89B62C-702F-4D12-8044-091ED1D7024B}"/>
    <cellStyle name="Comma 4 2 3 8 3" xfId="10906" xr:uid="{57923CC1-69DB-4326-A2E2-B78FF648DBE3}"/>
    <cellStyle name="Comma 4 2 3 9" xfId="2373" xr:uid="{00000000-0005-0000-0000-0000B3080000}"/>
    <cellStyle name="Comma 4 2 4" xfId="140" xr:uid="{00000000-0005-0000-0000-0000B4080000}"/>
    <cellStyle name="Comma 4 2 4 10" xfId="4612" xr:uid="{00000000-0005-0000-0000-0000B5080000}"/>
    <cellStyle name="Comma 4 2 4 10 2" xfId="13059" xr:uid="{66EECEEE-6CE6-44B2-93D5-524073FD0BF0}"/>
    <cellStyle name="Comma 4 2 4 11" xfId="8844" xr:uid="{6CBD509C-5121-4B68-A312-5190898C9C7E}"/>
    <cellStyle name="Comma 4 2 4 2" xfId="141" xr:uid="{00000000-0005-0000-0000-0000B6080000}"/>
    <cellStyle name="Comma 4 2 4 2 10" xfId="8845" xr:uid="{20C5C788-337E-4D5C-B2AF-FD34E74CC0D9}"/>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19" xr:uid="{9B7802FC-2940-4442-977E-5A9DCBDB656B}"/>
    <cellStyle name="Comma 4 2 4 2 2 2 3" xfId="11404" xr:uid="{1F0FBA7E-8456-4E53-B8F2-56FD145C106B}"/>
    <cellStyle name="Comma 4 2 4 2 2 3" xfId="5027" xr:uid="{00000000-0005-0000-0000-0000BA080000}"/>
    <cellStyle name="Comma 4 2 4 2 2 3 2" xfId="13474" xr:uid="{53F6F0A3-2BEF-45BC-9DE2-D0D0D2AA34A2}"/>
    <cellStyle name="Comma 4 2 4 2 2 4" xfId="9259" xr:uid="{0CBDB3F5-4879-4576-891C-6550BB1F4113}"/>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2" xr:uid="{A9B7E253-3C9D-4A41-8BA2-C4393D62DF0D}"/>
    <cellStyle name="Comma 4 2 4 2 3 2 3" xfId="11817" xr:uid="{DF2F604B-2A9A-426F-AC53-92AFFA10BC42}"/>
    <cellStyle name="Comma 4 2 4 2 3 3" xfId="5440" xr:uid="{00000000-0005-0000-0000-0000BE080000}"/>
    <cellStyle name="Comma 4 2 4 2 3 3 2" xfId="13887" xr:uid="{509229F6-36CC-4BCF-9399-B8A3F0B57755}"/>
    <cellStyle name="Comma 4 2 4 2 3 4" xfId="9672" xr:uid="{12D11DF9-3DAF-4C32-A6C1-3A1C30041F57}"/>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5" xr:uid="{C572AF0C-33ED-4CE1-9A96-EA76D2FECF43}"/>
    <cellStyle name="Comma 4 2 4 2 4 2 3" xfId="12230" xr:uid="{145ABFF8-F4BE-4046-95B1-61D0D64B02C9}"/>
    <cellStyle name="Comma 4 2 4 2 4 3" xfId="5853" xr:uid="{00000000-0005-0000-0000-0000C2080000}"/>
    <cellStyle name="Comma 4 2 4 2 4 3 2" xfId="14300" xr:uid="{23885214-1874-42D5-B37F-D36FFA752862}"/>
    <cellStyle name="Comma 4 2 4 2 4 4" xfId="10085" xr:uid="{A3DA0F8B-30FB-47B6-8447-857A28C66B4C}"/>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58" xr:uid="{1F4B080A-A353-454C-BBA8-14439C578EAD}"/>
    <cellStyle name="Comma 4 2 4 2 5 2 3" xfId="12643" xr:uid="{66B86201-BBA9-49CA-937C-1C4CA5A671E9}"/>
    <cellStyle name="Comma 4 2 4 2 5 3" xfId="6266" xr:uid="{00000000-0005-0000-0000-0000C6080000}"/>
    <cellStyle name="Comma 4 2 4 2 5 3 2" xfId="14713" xr:uid="{90264E5F-0E6F-4993-9232-B339B0B478BF}"/>
    <cellStyle name="Comma 4 2 4 2 5 4" xfId="10498" xr:uid="{62A27CED-3B2F-4FA7-A701-A119D8E09B1B}"/>
    <cellStyle name="Comma 4 2 4 2 6" xfId="2395" xr:uid="{00000000-0005-0000-0000-0000C7080000}"/>
    <cellStyle name="Comma 4 2 4 2 6 2" xfId="6679" xr:uid="{00000000-0005-0000-0000-0000C8080000}"/>
    <cellStyle name="Comma 4 2 4 2 6 2 2" xfId="15126" xr:uid="{68845523-79F7-406F-A5D5-C26940A44F2F}"/>
    <cellStyle name="Comma 4 2 4 2 6 3" xfId="10911" xr:uid="{41C9E995-D636-4BF4-821C-90112989CCDB}"/>
    <cellStyle name="Comma 4 2 4 2 7" xfId="2368" xr:uid="{00000000-0005-0000-0000-0000C9080000}"/>
    <cellStyle name="Comma 4 2 4 2 8" xfId="2773" xr:uid="{00000000-0005-0000-0000-0000CA080000}"/>
    <cellStyle name="Comma 4 2 4 2 8 2" xfId="6996" xr:uid="{00000000-0005-0000-0000-0000CB080000}"/>
    <cellStyle name="Comma 4 2 4 2 8 2 2" xfId="15443" xr:uid="{5D020AB6-B508-42A5-90AE-3B68A7939F91}"/>
    <cellStyle name="Comma 4 2 4 2 8 3" xfId="11228" xr:uid="{AB71C1A6-0B7D-4AE6-A18D-FAE7507E78FE}"/>
    <cellStyle name="Comma 4 2 4 2 9" xfId="4613" xr:uid="{00000000-0005-0000-0000-0000CC080000}"/>
    <cellStyle name="Comma 4 2 4 2 9 2" xfId="13060" xr:uid="{EE0F586D-4362-4956-AE2C-2916E4F80C02}"/>
    <cellStyle name="Comma 4 2 4 3" xfId="678" xr:uid="{00000000-0005-0000-0000-0000CD080000}"/>
    <cellStyle name="Comma 4 2 4 3 2" xfId="2949" xr:uid="{00000000-0005-0000-0000-0000CE080000}"/>
    <cellStyle name="Comma 4 2 4 3 2 2" xfId="7171" xr:uid="{00000000-0005-0000-0000-0000CF080000}"/>
    <cellStyle name="Comma 4 2 4 3 2 2 2" xfId="15618" xr:uid="{FE50C4A5-8C43-4EB6-A0C1-28B3DC7463A6}"/>
    <cellStyle name="Comma 4 2 4 3 2 3" xfId="11403" xr:uid="{B222737D-F554-451D-819C-766F1DF43638}"/>
    <cellStyle name="Comma 4 2 4 3 3" xfId="5026" xr:uid="{00000000-0005-0000-0000-0000D0080000}"/>
    <cellStyle name="Comma 4 2 4 3 3 2" xfId="13473" xr:uid="{A1F58A5A-E246-4938-88D0-040233F69D5F}"/>
    <cellStyle name="Comma 4 2 4 3 4" xfId="9258" xr:uid="{DE09CF23-EDBA-4D0B-BB9A-F40D3C785668}"/>
    <cellStyle name="Comma 4 2 4 4" xfId="1131" xr:uid="{00000000-0005-0000-0000-0000D1080000}"/>
    <cellStyle name="Comma 4 2 4 4 2" xfId="3362" xr:uid="{00000000-0005-0000-0000-0000D2080000}"/>
    <cellStyle name="Comma 4 2 4 4 2 2" xfId="7584" xr:uid="{00000000-0005-0000-0000-0000D3080000}"/>
    <cellStyle name="Comma 4 2 4 4 2 2 2" xfId="16031" xr:uid="{49A8B5C9-D81E-42FA-AA05-5C573885775E}"/>
    <cellStyle name="Comma 4 2 4 4 2 3" xfId="11816" xr:uid="{8F43F9AA-7C43-4F57-83CF-8120EF7B960C}"/>
    <cellStyle name="Comma 4 2 4 4 3" xfId="5439" xr:uid="{00000000-0005-0000-0000-0000D4080000}"/>
    <cellStyle name="Comma 4 2 4 4 3 2" xfId="13886" xr:uid="{726F5985-2ECA-405A-A874-B0D6DDC4B6CA}"/>
    <cellStyle name="Comma 4 2 4 4 4" xfId="9671" xr:uid="{6A1F6D3B-1A2A-4E2E-A25C-BEB7759A1921}"/>
    <cellStyle name="Comma 4 2 4 5" xfId="1545" xr:uid="{00000000-0005-0000-0000-0000D5080000}"/>
    <cellStyle name="Comma 4 2 4 5 2" xfId="3775" xr:uid="{00000000-0005-0000-0000-0000D6080000}"/>
    <cellStyle name="Comma 4 2 4 5 2 2" xfId="7997" xr:uid="{00000000-0005-0000-0000-0000D7080000}"/>
    <cellStyle name="Comma 4 2 4 5 2 2 2" xfId="16444" xr:uid="{4AB6F09D-36D1-4E5E-8EC0-05A54121A27E}"/>
    <cellStyle name="Comma 4 2 4 5 2 3" xfId="12229" xr:uid="{23691C79-E3E3-41D1-9E1C-9256C7ABDFFA}"/>
    <cellStyle name="Comma 4 2 4 5 3" xfId="5852" xr:uid="{00000000-0005-0000-0000-0000D8080000}"/>
    <cellStyle name="Comma 4 2 4 5 3 2" xfId="14299" xr:uid="{47961FA4-B32E-4E74-9E77-E936D7926F02}"/>
    <cellStyle name="Comma 4 2 4 5 4" xfId="10084" xr:uid="{F79FB002-82D5-4DA7-9C7C-A8A8B5CB2C44}"/>
    <cellStyle name="Comma 4 2 4 6" xfId="1959" xr:uid="{00000000-0005-0000-0000-0000D9080000}"/>
    <cellStyle name="Comma 4 2 4 6 2" xfId="4188" xr:uid="{00000000-0005-0000-0000-0000DA080000}"/>
    <cellStyle name="Comma 4 2 4 6 2 2" xfId="8410" xr:uid="{00000000-0005-0000-0000-0000DB080000}"/>
    <cellStyle name="Comma 4 2 4 6 2 2 2" xfId="16857" xr:uid="{C38386AB-CF13-45AE-A859-1427D61058DA}"/>
    <cellStyle name="Comma 4 2 4 6 2 3" xfId="12642" xr:uid="{B64941AD-8360-4963-8964-E10A1B984309}"/>
    <cellStyle name="Comma 4 2 4 6 3" xfId="6265" xr:uid="{00000000-0005-0000-0000-0000DC080000}"/>
    <cellStyle name="Comma 4 2 4 6 3 2" xfId="14712" xr:uid="{65FC5397-1009-44F2-8343-3869DE5C4EEB}"/>
    <cellStyle name="Comma 4 2 4 6 4" xfId="10497" xr:uid="{3D3F6E02-91E1-42C5-B882-6EE4811A5FD9}"/>
    <cellStyle name="Comma 4 2 4 7" xfId="2394" xr:uid="{00000000-0005-0000-0000-0000DD080000}"/>
    <cellStyle name="Comma 4 2 4 7 2" xfId="6678" xr:uid="{00000000-0005-0000-0000-0000DE080000}"/>
    <cellStyle name="Comma 4 2 4 7 2 2" xfId="15125" xr:uid="{08573E5C-382D-483A-AC10-97509ADD57B1}"/>
    <cellStyle name="Comma 4 2 4 7 3" xfId="10910" xr:uid="{6685637F-D97F-47FF-AD31-C6D23FE180F7}"/>
    <cellStyle name="Comma 4 2 4 8" xfId="2369" xr:uid="{00000000-0005-0000-0000-0000DF080000}"/>
    <cellStyle name="Comma 4 2 4 9" xfId="2772" xr:uid="{00000000-0005-0000-0000-0000E0080000}"/>
    <cellStyle name="Comma 4 2 4 9 2" xfId="6995" xr:uid="{00000000-0005-0000-0000-0000E1080000}"/>
    <cellStyle name="Comma 4 2 4 9 2 2" xfId="15442" xr:uid="{AE55D6DD-6820-4E2E-90C6-96F27A76DEB2}"/>
    <cellStyle name="Comma 4 2 4 9 3" xfId="11227" xr:uid="{A5D3D001-97C0-42D2-95A6-6F4A4430BF05}"/>
    <cellStyle name="Comma 4 2 5" xfId="142" xr:uid="{00000000-0005-0000-0000-0000E2080000}"/>
    <cellStyle name="Comma 4 2 5 10" xfId="8846" xr:uid="{D891516D-6CB0-4A87-A149-6658EF33FA59}"/>
    <cellStyle name="Comma 4 2 5 2" xfId="680" xr:uid="{00000000-0005-0000-0000-0000E3080000}"/>
    <cellStyle name="Comma 4 2 5 2 2" xfId="2951" xr:uid="{00000000-0005-0000-0000-0000E4080000}"/>
    <cellStyle name="Comma 4 2 5 2 2 2" xfId="7173" xr:uid="{00000000-0005-0000-0000-0000E5080000}"/>
    <cellStyle name="Comma 4 2 5 2 2 2 2" xfId="15620" xr:uid="{CD0B20E5-B788-48B6-9CEA-93DECDDF13DC}"/>
    <cellStyle name="Comma 4 2 5 2 2 3" xfId="11405" xr:uid="{713103F9-8A99-4241-986D-AC08FCD1BBEC}"/>
    <cellStyle name="Comma 4 2 5 2 3" xfId="5028" xr:uid="{00000000-0005-0000-0000-0000E6080000}"/>
    <cellStyle name="Comma 4 2 5 2 3 2" xfId="13475" xr:uid="{97ADEEAB-5DFE-4E52-A189-0D732B3E26FF}"/>
    <cellStyle name="Comma 4 2 5 2 4" xfId="9260" xr:uid="{FDE53513-624F-4D2B-A49D-5F4519F54746}"/>
    <cellStyle name="Comma 4 2 5 3" xfId="1133" xr:uid="{00000000-0005-0000-0000-0000E7080000}"/>
    <cellStyle name="Comma 4 2 5 3 2" xfId="3364" xr:uid="{00000000-0005-0000-0000-0000E8080000}"/>
    <cellStyle name="Comma 4 2 5 3 2 2" xfId="7586" xr:uid="{00000000-0005-0000-0000-0000E9080000}"/>
    <cellStyle name="Comma 4 2 5 3 2 2 2" xfId="16033" xr:uid="{AB142EAA-1553-4466-B50E-06352515753D}"/>
    <cellStyle name="Comma 4 2 5 3 2 3" xfId="11818" xr:uid="{CB26E11B-65EE-4D54-AAEC-B5DF21335C74}"/>
    <cellStyle name="Comma 4 2 5 3 3" xfId="5441" xr:uid="{00000000-0005-0000-0000-0000EA080000}"/>
    <cellStyle name="Comma 4 2 5 3 3 2" xfId="13888" xr:uid="{41F70576-2DF2-4BE3-9CE6-F4EE2681893F}"/>
    <cellStyle name="Comma 4 2 5 3 4" xfId="9673" xr:uid="{473DD829-2CAC-43A6-9E44-2436B24C61ED}"/>
    <cellStyle name="Comma 4 2 5 4" xfId="1547" xr:uid="{00000000-0005-0000-0000-0000EB080000}"/>
    <cellStyle name="Comma 4 2 5 4 2" xfId="3777" xr:uid="{00000000-0005-0000-0000-0000EC080000}"/>
    <cellStyle name="Comma 4 2 5 4 2 2" xfId="7999" xr:uid="{00000000-0005-0000-0000-0000ED080000}"/>
    <cellStyle name="Comma 4 2 5 4 2 2 2" xfId="16446" xr:uid="{2020DD24-E356-42F9-9827-1D0162654BA6}"/>
    <cellStyle name="Comma 4 2 5 4 2 3" xfId="12231" xr:uid="{2CE2736A-5C63-4C53-9DEF-018C13C338E4}"/>
    <cellStyle name="Comma 4 2 5 4 3" xfId="5854" xr:uid="{00000000-0005-0000-0000-0000EE080000}"/>
    <cellStyle name="Comma 4 2 5 4 3 2" xfId="14301" xr:uid="{52EDA17C-2607-4BED-B75F-6374211ECF0D}"/>
    <cellStyle name="Comma 4 2 5 4 4" xfId="10086" xr:uid="{2F958CE7-16CC-427E-A854-FF52C1B2A1FF}"/>
    <cellStyle name="Comma 4 2 5 5" xfId="1961" xr:uid="{00000000-0005-0000-0000-0000EF080000}"/>
    <cellStyle name="Comma 4 2 5 5 2" xfId="4190" xr:uid="{00000000-0005-0000-0000-0000F0080000}"/>
    <cellStyle name="Comma 4 2 5 5 2 2" xfId="8412" xr:uid="{00000000-0005-0000-0000-0000F1080000}"/>
    <cellStyle name="Comma 4 2 5 5 2 2 2" xfId="16859" xr:uid="{55629966-FDD0-4F49-ABF2-650DB8A631B7}"/>
    <cellStyle name="Comma 4 2 5 5 2 3" xfId="12644" xr:uid="{6F9D3444-A2EC-43F2-A0A0-9FFFAC3CE806}"/>
    <cellStyle name="Comma 4 2 5 5 3" xfId="6267" xr:uid="{00000000-0005-0000-0000-0000F2080000}"/>
    <cellStyle name="Comma 4 2 5 5 3 2" xfId="14714" xr:uid="{890E9622-E213-4BF2-880F-7AED3FB39663}"/>
    <cellStyle name="Comma 4 2 5 5 4" xfId="10499" xr:uid="{480AA1A7-5EF4-4EF9-8EA0-D863CFDF7FDE}"/>
    <cellStyle name="Comma 4 2 5 6" xfId="2396" xr:uid="{00000000-0005-0000-0000-0000F3080000}"/>
    <cellStyle name="Comma 4 2 5 6 2" xfId="6680" xr:uid="{00000000-0005-0000-0000-0000F4080000}"/>
    <cellStyle name="Comma 4 2 5 6 2 2" xfId="15127" xr:uid="{8AA7696C-8E9D-45B8-AAB0-4D3EA0485088}"/>
    <cellStyle name="Comma 4 2 5 6 3" xfId="10912" xr:uid="{3BD2D96B-F4CD-48AA-BA1C-E6FB57445462}"/>
    <cellStyle name="Comma 4 2 5 7" xfId="2367" xr:uid="{00000000-0005-0000-0000-0000F5080000}"/>
    <cellStyle name="Comma 4 2 5 8" xfId="2774" xr:uid="{00000000-0005-0000-0000-0000F6080000}"/>
    <cellStyle name="Comma 4 2 5 8 2" xfId="6997" xr:uid="{00000000-0005-0000-0000-0000F7080000}"/>
    <cellStyle name="Comma 4 2 5 8 2 2" xfId="15444" xr:uid="{41FCB4DF-331D-4A63-8086-949911826E75}"/>
    <cellStyle name="Comma 4 2 5 8 3" xfId="11229" xr:uid="{A58DA973-2414-4F42-8D42-0D3520745089}"/>
    <cellStyle name="Comma 4 2 5 9" xfId="4614" xr:uid="{00000000-0005-0000-0000-0000F8080000}"/>
    <cellStyle name="Comma 4 2 5 9 2" xfId="13061" xr:uid="{4A53AA1C-60C2-4F4A-96F7-A9A58C8C8DD2}"/>
    <cellStyle name="Comma 4 2 6" xfId="143" xr:uid="{00000000-0005-0000-0000-0000F9080000}"/>
    <cellStyle name="Comma 4 2 6 10" xfId="8847" xr:uid="{DBEFFE24-8CC4-41DB-AD3D-297F88927903}"/>
    <cellStyle name="Comma 4 2 6 2" xfId="681" xr:uid="{00000000-0005-0000-0000-0000FA080000}"/>
    <cellStyle name="Comma 4 2 6 2 2" xfId="2952" xr:uid="{00000000-0005-0000-0000-0000FB080000}"/>
    <cellStyle name="Comma 4 2 6 2 2 2" xfId="7174" xr:uid="{00000000-0005-0000-0000-0000FC080000}"/>
    <cellStyle name="Comma 4 2 6 2 2 2 2" xfId="15621" xr:uid="{9F8763BE-06D4-4C82-90C5-2B9F030B306B}"/>
    <cellStyle name="Comma 4 2 6 2 2 3" xfId="11406" xr:uid="{56CFD812-AD99-4E7B-9645-C6E008140EF8}"/>
    <cellStyle name="Comma 4 2 6 2 3" xfId="5029" xr:uid="{00000000-0005-0000-0000-0000FD080000}"/>
    <cellStyle name="Comma 4 2 6 2 3 2" xfId="13476" xr:uid="{5FBFC8B8-F4BD-4DEC-AD60-D503701311BA}"/>
    <cellStyle name="Comma 4 2 6 2 4" xfId="9261" xr:uid="{398A34DC-558F-43B5-91CE-121DC70E0793}"/>
    <cellStyle name="Comma 4 2 6 3" xfId="1134" xr:uid="{00000000-0005-0000-0000-0000FE080000}"/>
    <cellStyle name="Comma 4 2 6 3 2" xfId="3365" xr:uid="{00000000-0005-0000-0000-0000FF080000}"/>
    <cellStyle name="Comma 4 2 6 3 2 2" xfId="7587" xr:uid="{00000000-0005-0000-0000-000000090000}"/>
    <cellStyle name="Comma 4 2 6 3 2 2 2" xfId="16034" xr:uid="{CFC376DC-11C0-4E80-8D2C-866DA6C31504}"/>
    <cellStyle name="Comma 4 2 6 3 2 3" xfId="11819" xr:uid="{F665A864-57CB-4876-A300-F825019DE7AA}"/>
    <cellStyle name="Comma 4 2 6 3 3" xfId="5442" xr:uid="{00000000-0005-0000-0000-000001090000}"/>
    <cellStyle name="Comma 4 2 6 3 3 2" xfId="13889" xr:uid="{0A5708AB-69DF-41EB-8B3D-7931E40E6554}"/>
    <cellStyle name="Comma 4 2 6 3 4" xfId="9674" xr:uid="{FDE17A54-F473-417C-A8EE-18C829FF4BE0}"/>
    <cellStyle name="Comma 4 2 6 4" xfId="1548" xr:uid="{00000000-0005-0000-0000-000002090000}"/>
    <cellStyle name="Comma 4 2 6 4 2" xfId="3778" xr:uid="{00000000-0005-0000-0000-000003090000}"/>
    <cellStyle name="Comma 4 2 6 4 2 2" xfId="8000" xr:uid="{00000000-0005-0000-0000-000004090000}"/>
    <cellStyle name="Comma 4 2 6 4 2 2 2" xfId="16447" xr:uid="{BE5A7343-E0D8-4ED1-B270-9E5201B3FE62}"/>
    <cellStyle name="Comma 4 2 6 4 2 3" xfId="12232" xr:uid="{C390E094-5C17-4DFE-ADE9-68BD294591C0}"/>
    <cellStyle name="Comma 4 2 6 4 3" xfId="5855" xr:uid="{00000000-0005-0000-0000-000005090000}"/>
    <cellStyle name="Comma 4 2 6 4 3 2" xfId="14302" xr:uid="{AA063878-B963-4B96-AFA2-0E2117FAA538}"/>
    <cellStyle name="Comma 4 2 6 4 4" xfId="10087" xr:uid="{CC97FDBD-7360-4390-A476-773E3B36FAB1}"/>
    <cellStyle name="Comma 4 2 6 5" xfId="1962" xr:uid="{00000000-0005-0000-0000-000006090000}"/>
    <cellStyle name="Comma 4 2 6 5 2" xfId="4191" xr:uid="{00000000-0005-0000-0000-000007090000}"/>
    <cellStyle name="Comma 4 2 6 5 2 2" xfId="8413" xr:uid="{00000000-0005-0000-0000-000008090000}"/>
    <cellStyle name="Comma 4 2 6 5 2 2 2" xfId="16860" xr:uid="{6C0EDF5E-4811-4DF8-B0AC-6C8F8E4B862D}"/>
    <cellStyle name="Comma 4 2 6 5 2 3" xfId="12645" xr:uid="{95B675B9-B806-498D-8F9C-1F58B63DFDCB}"/>
    <cellStyle name="Comma 4 2 6 5 3" xfId="6268" xr:uid="{00000000-0005-0000-0000-000009090000}"/>
    <cellStyle name="Comma 4 2 6 5 3 2" xfId="14715" xr:uid="{E52D6BA4-5E12-4E1D-BAEC-6BF5A1598E25}"/>
    <cellStyle name="Comma 4 2 6 5 4" xfId="10500" xr:uid="{36A78807-FBD9-4F9C-80FC-1EE776C756A3}"/>
    <cellStyle name="Comma 4 2 6 6" xfId="2397" xr:uid="{00000000-0005-0000-0000-00000A090000}"/>
    <cellStyle name="Comma 4 2 6 6 2" xfId="6681" xr:uid="{00000000-0005-0000-0000-00000B090000}"/>
    <cellStyle name="Comma 4 2 6 6 2 2" xfId="15128" xr:uid="{C525C64D-9FCC-4F68-A115-98AB51AEAC5A}"/>
    <cellStyle name="Comma 4 2 6 6 3" xfId="10913" xr:uid="{36109309-DA52-4F9A-897D-1F5CB1F70805}"/>
    <cellStyle name="Comma 4 2 6 7" xfId="2366" xr:uid="{00000000-0005-0000-0000-00000C090000}"/>
    <cellStyle name="Comma 4 2 6 8" xfId="2775" xr:uid="{00000000-0005-0000-0000-00000D090000}"/>
    <cellStyle name="Comma 4 2 6 8 2" xfId="6998" xr:uid="{00000000-0005-0000-0000-00000E090000}"/>
    <cellStyle name="Comma 4 2 6 8 2 2" xfId="15445" xr:uid="{9C50F091-90A3-43E5-BA79-7CD6742D5F97}"/>
    <cellStyle name="Comma 4 2 6 8 3" xfId="11230" xr:uid="{3313B086-425F-4CC7-9DC7-71FEAE81B203}"/>
    <cellStyle name="Comma 4 2 6 9" xfId="4615" xr:uid="{00000000-0005-0000-0000-00000F090000}"/>
    <cellStyle name="Comma 4 2 6 9 2" xfId="13062" xr:uid="{08EFD977-8F26-4126-A8EA-6783298DFA4D}"/>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6" xr:uid="{848D76B2-0F45-43A4-82C4-B065F5959086}"/>
    <cellStyle name="Comma 4 3 2 10 3" xfId="11231" xr:uid="{1065269F-3126-444E-916A-2F835039A8C6}"/>
    <cellStyle name="Comma 4 3 2 11" xfId="4616" xr:uid="{00000000-0005-0000-0000-000014090000}"/>
    <cellStyle name="Comma 4 3 2 11 2" xfId="13063" xr:uid="{E414AEDB-A3D5-4AA5-85A2-5E785CA824B1}"/>
    <cellStyle name="Comma 4 3 2 12" xfId="8848" xr:uid="{2C949DA6-DE89-4834-8C12-F1211A01C808}"/>
    <cellStyle name="Comma 4 3 2 2" xfId="146" xr:uid="{00000000-0005-0000-0000-000015090000}"/>
    <cellStyle name="Comma 4 3 2 2 10" xfId="4617" xr:uid="{00000000-0005-0000-0000-000016090000}"/>
    <cellStyle name="Comma 4 3 2 2 10 2" xfId="13064" xr:uid="{A4FBB64F-96A7-4784-BC73-C7DA2A3BEDC1}"/>
    <cellStyle name="Comma 4 3 2 2 11" xfId="8849" xr:uid="{A4E5ABCD-FEAF-4393-BC39-B601916B30AA}"/>
    <cellStyle name="Comma 4 3 2 2 2" xfId="147" xr:uid="{00000000-0005-0000-0000-000017090000}"/>
    <cellStyle name="Comma 4 3 2 2 2 10" xfId="8850" xr:uid="{432AFA30-02E8-44FE-91CA-ADC5ACAFE1AB}"/>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4" xr:uid="{D57AD58B-1B39-48B9-B712-A0332DC10874}"/>
    <cellStyle name="Comma 4 3 2 2 2 2 2 3" xfId="11409" xr:uid="{7E3CC0F0-A826-4F13-9B8A-26F44AEFD3AC}"/>
    <cellStyle name="Comma 4 3 2 2 2 2 3" xfId="5032" xr:uid="{00000000-0005-0000-0000-00001B090000}"/>
    <cellStyle name="Comma 4 3 2 2 2 2 3 2" xfId="13479" xr:uid="{F6BA9625-99AE-4605-BCE7-E2865B6960ED}"/>
    <cellStyle name="Comma 4 3 2 2 2 2 4" xfId="9264" xr:uid="{2CA7D89C-2AAE-457D-96B0-B429EDA177D0}"/>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37" xr:uid="{BEC1CF29-616E-4F86-9EB4-1066ADBF7EB1}"/>
    <cellStyle name="Comma 4 3 2 2 2 3 2 3" xfId="11822" xr:uid="{0550C578-8F95-45C1-B60A-FFB2928ABBAE}"/>
    <cellStyle name="Comma 4 3 2 2 2 3 3" xfId="5445" xr:uid="{00000000-0005-0000-0000-00001F090000}"/>
    <cellStyle name="Comma 4 3 2 2 2 3 3 2" xfId="13892" xr:uid="{F4D5C3DB-3254-40CF-8DEA-7442F2587278}"/>
    <cellStyle name="Comma 4 3 2 2 2 3 4" xfId="9677" xr:uid="{1FB336E8-645A-468A-AB21-8162738CFE54}"/>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0" xr:uid="{8AF48197-0F1A-4313-8CB6-E55EFE805CEF}"/>
    <cellStyle name="Comma 4 3 2 2 2 4 2 3" xfId="12235" xr:uid="{B56D31BD-E252-48BB-BFC5-4C824DA3DA19}"/>
    <cellStyle name="Comma 4 3 2 2 2 4 3" xfId="5858" xr:uid="{00000000-0005-0000-0000-000023090000}"/>
    <cellStyle name="Comma 4 3 2 2 2 4 3 2" xfId="14305" xr:uid="{725775C2-E934-4947-9630-EA37D585787B}"/>
    <cellStyle name="Comma 4 3 2 2 2 4 4" xfId="10090" xr:uid="{0BA18404-A081-4CBF-8E85-515AEEEEBFD9}"/>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3" xr:uid="{14921F72-74C2-4768-A0D6-4975E8FCBD8C}"/>
    <cellStyle name="Comma 4 3 2 2 2 5 2 3" xfId="12648" xr:uid="{FA152C92-F9E0-4937-B4F0-25AAFBA221DA}"/>
    <cellStyle name="Comma 4 3 2 2 2 5 3" xfId="6271" xr:uid="{00000000-0005-0000-0000-000027090000}"/>
    <cellStyle name="Comma 4 3 2 2 2 5 3 2" xfId="14718" xr:uid="{D226BF97-C908-44BD-B1DD-079DD3C09DA1}"/>
    <cellStyle name="Comma 4 3 2 2 2 5 4" xfId="10503" xr:uid="{A40B09C5-0C6A-4364-8F54-310406093525}"/>
    <cellStyle name="Comma 4 3 2 2 2 6" xfId="2400" xr:uid="{00000000-0005-0000-0000-000028090000}"/>
    <cellStyle name="Comma 4 3 2 2 2 6 2" xfId="6684" xr:uid="{00000000-0005-0000-0000-000029090000}"/>
    <cellStyle name="Comma 4 3 2 2 2 6 2 2" xfId="15131" xr:uid="{374A3551-5624-4098-8FEE-953CF939886C}"/>
    <cellStyle name="Comma 4 3 2 2 2 6 3" xfId="10916" xr:uid="{287FBA30-53B2-47D8-B1BF-AC36B5D92AE9}"/>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48" xr:uid="{B4AD717C-20B7-45C4-9BBA-96778A195864}"/>
    <cellStyle name="Comma 4 3 2 2 2 8 3" xfId="11233" xr:uid="{7889FE10-4DC0-4BC4-B2D7-8465FCEF319C}"/>
    <cellStyle name="Comma 4 3 2 2 2 9" xfId="4618" xr:uid="{00000000-0005-0000-0000-00002D090000}"/>
    <cellStyle name="Comma 4 3 2 2 2 9 2" xfId="13065" xr:uid="{DB130EED-18E7-458D-B843-451F40173992}"/>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3" xr:uid="{0E46BF50-6020-413C-8C5C-DEDDD889FA32}"/>
    <cellStyle name="Comma 4 3 2 2 3 2 3" xfId="11408" xr:uid="{4136505F-EB57-45A9-A727-F7084030CF85}"/>
    <cellStyle name="Comma 4 3 2 2 3 3" xfId="5031" xr:uid="{00000000-0005-0000-0000-000031090000}"/>
    <cellStyle name="Comma 4 3 2 2 3 3 2" xfId="13478" xr:uid="{DD815BF9-B060-42B0-8BA0-3F90A204D04A}"/>
    <cellStyle name="Comma 4 3 2 2 3 4" xfId="9263" xr:uid="{B7ABB231-6A24-4E13-B318-90E5668B9625}"/>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6" xr:uid="{5710F691-6D8D-4825-B9FE-9AAE5C1B681C}"/>
    <cellStyle name="Comma 4 3 2 2 4 2 3" xfId="11821" xr:uid="{4BA6B4E0-461F-47DD-BA8D-B9730E3568C7}"/>
    <cellStyle name="Comma 4 3 2 2 4 3" xfId="5444" xr:uid="{00000000-0005-0000-0000-000035090000}"/>
    <cellStyle name="Comma 4 3 2 2 4 3 2" xfId="13891" xr:uid="{125A4AA3-E9AC-49B6-B382-6A9D86213C2A}"/>
    <cellStyle name="Comma 4 3 2 2 4 4" xfId="9676" xr:uid="{FB4C7103-7505-44A6-BED7-16B14B672120}"/>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49" xr:uid="{7E432B58-9E53-4982-AE5E-417034DFF4A3}"/>
    <cellStyle name="Comma 4 3 2 2 5 2 3" xfId="12234" xr:uid="{831831D3-1E71-4BCC-BF43-8A509871525C}"/>
    <cellStyle name="Comma 4 3 2 2 5 3" xfId="5857" xr:uid="{00000000-0005-0000-0000-000039090000}"/>
    <cellStyle name="Comma 4 3 2 2 5 3 2" xfId="14304" xr:uid="{5F355982-3DE8-43AE-AFB6-5CEDF96EA01F}"/>
    <cellStyle name="Comma 4 3 2 2 5 4" xfId="10089" xr:uid="{0C4FBD4E-A55B-40E1-82B2-C1B4A9FE3C14}"/>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2" xr:uid="{BEFF7CAE-EAB2-41E9-A479-BD6DF9AFF629}"/>
    <cellStyle name="Comma 4 3 2 2 6 2 3" xfId="12647" xr:uid="{E090C3D6-377A-42D1-A3C6-E7C7B97B3517}"/>
    <cellStyle name="Comma 4 3 2 2 6 3" xfId="6270" xr:uid="{00000000-0005-0000-0000-00003D090000}"/>
    <cellStyle name="Comma 4 3 2 2 6 3 2" xfId="14717" xr:uid="{7EE572FC-A80D-4AA7-BC77-C684A80A8E22}"/>
    <cellStyle name="Comma 4 3 2 2 6 4" xfId="10502" xr:uid="{602768FC-D17C-49DC-8B65-579C643440C3}"/>
    <cellStyle name="Comma 4 3 2 2 7" xfId="2399" xr:uid="{00000000-0005-0000-0000-00003E090000}"/>
    <cellStyle name="Comma 4 3 2 2 7 2" xfId="6683" xr:uid="{00000000-0005-0000-0000-00003F090000}"/>
    <cellStyle name="Comma 4 3 2 2 7 2 2" xfId="15130" xr:uid="{22DDACA8-B1A5-484F-B51A-52ECB140994F}"/>
    <cellStyle name="Comma 4 3 2 2 7 3" xfId="10915" xr:uid="{6318A8EA-F13F-4AD5-8E0D-03161B453355}"/>
    <cellStyle name="Comma 4 3 2 2 8" xfId="2364" xr:uid="{00000000-0005-0000-0000-000040090000}"/>
    <cellStyle name="Comma 4 3 2 2 9" xfId="2777" xr:uid="{00000000-0005-0000-0000-000041090000}"/>
    <cellStyle name="Comma 4 3 2 2 9 2" xfId="7000" xr:uid="{00000000-0005-0000-0000-000042090000}"/>
    <cellStyle name="Comma 4 3 2 2 9 2 2" xfId="15447" xr:uid="{DD8DF6C6-FC64-4F9D-8D44-9D49B18B2556}"/>
    <cellStyle name="Comma 4 3 2 2 9 3" xfId="11232" xr:uid="{07B8B567-5425-4ACD-A064-CB9494B240D0}"/>
    <cellStyle name="Comma 4 3 2 3" xfId="148" xr:uid="{00000000-0005-0000-0000-000043090000}"/>
    <cellStyle name="Comma 4 3 2 3 10" xfId="8851" xr:uid="{8913316D-6B89-4FAE-9250-F8BD58F8A3ED}"/>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5" xr:uid="{7254C2C4-B110-4C17-87BB-BDA7D89C9F83}"/>
    <cellStyle name="Comma 4 3 2 3 2 2 3" xfId="11410" xr:uid="{279BA565-3B47-464F-92AF-FE93D9BF878F}"/>
    <cellStyle name="Comma 4 3 2 3 2 3" xfId="5033" xr:uid="{00000000-0005-0000-0000-000047090000}"/>
    <cellStyle name="Comma 4 3 2 3 2 3 2" xfId="13480" xr:uid="{2714322B-00A7-433F-856E-3CDAC0155DBA}"/>
    <cellStyle name="Comma 4 3 2 3 2 4" xfId="9265" xr:uid="{E59325FB-B151-479C-A5BD-6506EEFA13D1}"/>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38" xr:uid="{8D8D28E0-E8AC-48D8-A855-99ADD0E2B942}"/>
    <cellStyle name="Comma 4 3 2 3 3 2 3" xfId="11823" xr:uid="{0CC8C5C1-789E-43BE-86B9-51E41B2D6921}"/>
    <cellStyle name="Comma 4 3 2 3 3 3" xfId="5446" xr:uid="{00000000-0005-0000-0000-00004B090000}"/>
    <cellStyle name="Comma 4 3 2 3 3 3 2" xfId="13893" xr:uid="{EBEC6A12-A25F-4178-9078-0C73F3FA010B}"/>
    <cellStyle name="Comma 4 3 2 3 3 4" xfId="9678" xr:uid="{BDC277A4-8DF3-4362-83D3-3E2FA4431595}"/>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1" xr:uid="{B7373759-02FE-42A6-9739-0CBF4A10A75C}"/>
    <cellStyle name="Comma 4 3 2 3 4 2 3" xfId="12236" xr:uid="{AD521346-3F73-4985-A66A-51324BF9CBA9}"/>
    <cellStyle name="Comma 4 3 2 3 4 3" xfId="5859" xr:uid="{00000000-0005-0000-0000-00004F090000}"/>
    <cellStyle name="Comma 4 3 2 3 4 3 2" xfId="14306" xr:uid="{78C82E3F-0F92-45AE-AF48-79E5556B9556}"/>
    <cellStyle name="Comma 4 3 2 3 4 4" xfId="10091" xr:uid="{29EA7851-DEFC-4857-BDD5-FA4428CF4085}"/>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4" xr:uid="{9B691E0F-36B7-45E2-9C53-DBF6E312401D}"/>
    <cellStyle name="Comma 4 3 2 3 5 2 3" xfId="12649" xr:uid="{F3ACC20D-114C-4E01-A672-3FF8C5B15D70}"/>
    <cellStyle name="Comma 4 3 2 3 5 3" xfId="6272" xr:uid="{00000000-0005-0000-0000-000053090000}"/>
    <cellStyle name="Comma 4 3 2 3 5 3 2" xfId="14719" xr:uid="{80D9B3F3-654F-4939-94E6-3BD566CFB64E}"/>
    <cellStyle name="Comma 4 3 2 3 5 4" xfId="10504" xr:uid="{3CCE1351-674D-4C9C-9859-AB0043058344}"/>
    <cellStyle name="Comma 4 3 2 3 6" xfId="2401" xr:uid="{00000000-0005-0000-0000-000054090000}"/>
    <cellStyle name="Comma 4 3 2 3 6 2" xfId="6685" xr:uid="{00000000-0005-0000-0000-000055090000}"/>
    <cellStyle name="Comma 4 3 2 3 6 2 2" xfId="15132" xr:uid="{1E6D662D-D788-4C25-BB52-7CD38E6AFE55}"/>
    <cellStyle name="Comma 4 3 2 3 6 3" xfId="10917" xr:uid="{D4E7F17B-6440-4DF6-9BFF-BBFF88CED618}"/>
    <cellStyle name="Comma 4 3 2 3 7" xfId="2362" xr:uid="{00000000-0005-0000-0000-000056090000}"/>
    <cellStyle name="Comma 4 3 2 3 8" xfId="2779" xr:uid="{00000000-0005-0000-0000-000057090000}"/>
    <cellStyle name="Comma 4 3 2 3 8 2" xfId="7002" xr:uid="{00000000-0005-0000-0000-000058090000}"/>
    <cellStyle name="Comma 4 3 2 3 8 2 2" xfId="15449" xr:uid="{01339E13-F909-499E-A8FF-80A1994FD1A7}"/>
    <cellStyle name="Comma 4 3 2 3 8 3" xfId="11234" xr:uid="{EC66176C-5F34-4593-93A5-171E6AD4841A}"/>
    <cellStyle name="Comma 4 3 2 3 9" xfId="4619" xr:uid="{00000000-0005-0000-0000-000059090000}"/>
    <cellStyle name="Comma 4 3 2 3 9 2" xfId="13066" xr:uid="{E8A267A4-1D8B-41D8-820F-543447CD4FC4}"/>
    <cellStyle name="Comma 4 3 2 4" xfId="682" xr:uid="{00000000-0005-0000-0000-00005A090000}"/>
    <cellStyle name="Comma 4 3 2 4 2" xfId="2953" xr:uid="{00000000-0005-0000-0000-00005B090000}"/>
    <cellStyle name="Comma 4 3 2 4 2 2" xfId="7175" xr:uid="{00000000-0005-0000-0000-00005C090000}"/>
    <cellStyle name="Comma 4 3 2 4 2 2 2" xfId="15622" xr:uid="{7230198E-E7B2-4FD1-9F3F-11EE70569CB6}"/>
    <cellStyle name="Comma 4 3 2 4 2 3" xfId="11407" xr:uid="{353283FA-962D-417D-BEE5-4E9BD0DF0B78}"/>
    <cellStyle name="Comma 4 3 2 4 3" xfId="5030" xr:uid="{00000000-0005-0000-0000-00005D090000}"/>
    <cellStyle name="Comma 4 3 2 4 3 2" xfId="13477" xr:uid="{B6EF4DEB-318A-4BDA-BEA7-C774458E4B1F}"/>
    <cellStyle name="Comma 4 3 2 4 4" xfId="9262" xr:uid="{26D663AD-B8CB-49DE-9AC8-BABBC97607D2}"/>
    <cellStyle name="Comma 4 3 2 5" xfId="1135" xr:uid="{00000000-0005-0000-0000-00005E090000}"/>
    <cellStyle name="Comma 4 3 2 5 2" xfId="3366" xr:uid="{00000000-0005-0000-0000-00005F090000}"/>
    <cellStyle name="Comma 4 3 2 5 2 2" xfId="7588" xr:uid="{00000000-0005-0000-0000-000060090000}"/>
    <cellStyle name="Comma 4 3 2 5 2 2 2" xfId="16035" xr:uid="{5DCDC6FD-7056-4011-9E94-5281BD3E14CC}"/>
    <cellStyle name="Comma 4 3 2 5 2 3" xfId="11820" xr:uid="{3DFEFA33-0DC0-4578-BE55-B32714BC655B}"/>
    <cellStyle name="Comma 4 3 2 5 3" xfId="5443" xr:uid="{00000000-0005-0000-0000-000061090000}"/>
    <cellStyle name="Comma 4 3 2 5 3 2" xfId="13890" xr:uid="{ACF03BB9-B625-4C0A-8CBA-283877EC1A29}"/>
    <cellStyle name="Comma 4 3 2 5 4" xfId="9675" xr:uid="{ED28F4FB-9B61-4738-B297-EF95510872A8}"/>
    <cellStyle name="Comma 4 3 2 6" xfId="1549" xr:uid="{00000000-0005-0000-0000-000062090000}"/>
    <cellStyle name="Comma 4 3 2 6 2" xfId="3779" xr:uid="{00000000-0005-0000-0000-000063090000}"/>
    <cellStyle name="Comma 4 3 2 6 2 2" xfId="8001" xr:uid="{00000000-0005-0000-0000-000064090000}"/>
    <cellStyle name="Comma 4 3 2 6 2 2 2" xfId="16448" xr:uid="{90AD4D15-5C79-4DDB-88D0-3378C2697506}"/>
    <cellStyle name="Comma 4 3 2 6 2 3" xfId="12233" xr:uid="{010701A4-8B15-4C9C-A259-F7ABD5346EB8}"/>
    <cellStyle name="Comma 4 3 2 6 3" xfId="5856" xr:uid="{00000000-0005-0000-0000-000065090000}"/>
    <cellStyle name="Comma 4 3 2 6 3 2" xfId="14303" xr:uid="{BAFCD120-1E7C-4662-9F3C-5490EF5F4082}"/>
    <cellStyle name="Comma 4 3 2 6 4" xfId="10088" xr:uid="{02EF87E7-3195-45B1-A2C4-5117BB379A7A}"/>
    <cellStyle name="Comma 4 3 2 7" xfId="1963" xr:uid="{00000000-0005-0000-0000-000066090000}"/>
    <cellStyle name="Comma 4 3 2 7 2" xfId="4192" xr:uid="{00000000-0005-0000-0000-000067090000}"/>
    <cellStyle name="Comma 4 3 2 7 2 2" xfId="8414" xr:uid="{00000000-0005-0000-0000-000068090000}"/>
    <cellStyle name="Comma 4 3 2 7 2 2 2" xfId="16861" xr:uid="{66D8E677-161A-4805-949D-2F3024FBAF6D}"/>
    <cellStyle name="Comma 4 3 2 7 2 3" xfId="12646" xr:uid="{1CD925B4-6544-425E-B863-85D4DADC9A38}"/>
    <cellStyle name="Comma 4 3 2 7 3" xfId="6269" xr:uid="{00000000-0005-0000-0000-000069090000}"/>
    <cellStyle name="Comma 4 3 2 7 3 2" xfId="14716" xr:uid="{A0C5B66C-7554-4B8D-B08A-5564D0C4036B}"/>
    <cellStyle name="Comma 4 3 2 7 4" xfId="10501" xr:uid="{AB237B93-8B12-479C-A763-3A7127B79EAC}"/>
    <cellStyle name="Comma 4 3 2 8" xfId="2398" xr:uid="{00000000-0005-0000-0000-00006A090000}"/>
    <cellStyle name="Comma 4 3 2 8 2" xfId="6682" xr:uid="{00000000-0005-0000-0000-00006B090000}"/>
    <cellStyle name="Comma 4 3 2 8 2 2" xfId="15129" xr:uid="{6F0A07DF-5B38-4A66-9518-B2862AA8A4A7}"/>
    <cellStyle name="Comma 4 3 2 8 3" xfId="10914" xr:uid="{DC678996-565B-4DD5-B04A-9D6E96C304CA}"/>
    <cellStyle name="Comma 4 3 2 9" xfId="2365" xr:uid="{00000000-0005-0000-0000-00006C090000}"/>
    <cellStyle name="Comma 4 3 3" xfId="149" xr:uid="{00000000-0005-0000-0000-00006D090000}"/>
    <cellStyle name="Comma 4 3 3 10" xfId="4620" xr:uid="{00000000-0005-0000-0000-00006E090000}"/>
    <cellStyle name="Comma 4 3 3 10 2" xfId="13067" xr:uid="{65A7899D-4C1C-4CD1-A927-82F687B075DF}"/>
    <cellStyle name="Comma 4 3 3 11" xfId="8852" xr:uid="{6C9CB4AE-7EA5-4040-8349-E508B1E6B162}"/>
    <cellStyle name="Comma 4 3 3 2" xfId="150" xr:uid="{00000000-0005-0000-0000-00006F090000}"/>
    <cellStyle name="Comma 4 3 3 2 10" xfId="8853" xr:uid="{0AEE6952-102C-4969-A2F8-ACC647315D2E}"/>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27" xr:uid="{7BEF218B-C2F5-4914-8718-186AC9452220}"/>
    <cellStyle name="Comma 4 3 3 2 2 2 3" xfId="11412" xr:uid="{3618DBAD-1958-4FE6-BD56-86AA99BE23A2}"/>
    <cellStyle name="Comma 4 3 3 2 2 3" xfId="5035" xr:uid="{00000000-0005-0000-0000-000073090000}"/>
    <cellStyle name="Comma 4 3 3 2 2 3 2" xfId="13482" xr:uid="{0507E9BC-B90E-407B-B346-FD4F46739BDD}"/>
    <cellStyle name="Comma 4 3 3 2 2 4" xfId="9267" xr:uid="{EBD10834-B798-405A-AA61-BCDB39890F7A}"/>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0" xr:uid="{C2284C42-34E8-434B-9197-541EC833FA32}"/>
    <cellStyle name="Comma 4 3 3 2 3 2 3" xfId="11825" xr:uid="{2C0820CB-442C-4A8E-B356-34E1332AD3D0}"/>
    <cellStyle name="Comma 4 3 3 2 3 3" xfId="5448" xr:uid="{00000000-0005-0000-0000-000077090000}"/>
    <cellStyle name="Comma 4 3 3 2 3 3 2" xfId="13895" xr:uid="{AEE508EC-1B06-4125-9225-A4E5A965AF5A}"/>
    <cellStyle name="Comma 4 3 3 2 3 4" xfId="9680" xr:uid="{B3B26789-9AD8-4380-8A52-B3992040EF68}"/>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3" xr:uid="{CAE62DA9-7086-4803-AB0F-1BFBDD5579C7}"/>
    <cellStyle name="Comma 4 3 3 2 4 2 3" xfId="12238" xr:uid="{540F5127-CF2F-410A-9157-F3640D7CC45D}"/>
    <cellStyle name="Comma 4 3 3 2 4 3" xfId="5861" xr:uid="{00000000-0005-0000-0000-00007B090000}"/>
    <cellStyle name="Comma 4 3 3 2 4 3 2" xfId="14308" xr:uid="{A4FE8871-0600-49FE-93FE-3703A26A4C70}"/>
    <cellStyle name="Comma 4 3 3 2 4 4" xfId="10093" xr:uid="{3F3746E4-2656-42DB-924F-4CE5348D0F20}"/>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6" xr:uid="{01656E38-502C-4356-8703-4D830AFFCD4B}"/>
    <cellStyle name="Comma 4 3 3 2 5 2 3" xfId="12651" xr:uid="{CEF564F7-F69E-4EAC-9D71-7A9CF55CA39F}"/>
    <cellStyle name="Comma 4 3 3 2 5 3" xfId="6274" xr:uid="{00000000-0005-0000-0000-00007F090000}"/>
    <cellStyle name="Comma 4 3 3 2 5 3 2" xfId="14721" xr:uid="{FE47B3B0-2D15-44BB-AD26-FBDF013D7FF5}"/>
    <cellStyle name="Comma 4 3 3 2 5 4" xfId="10506" xr:uid="{A8C00967-6965-4BA0-B58F-BF2688530E88}"/>
    <cellStyle name="Comma 4 3 3 2 6" xfId="2403" xr:uid="{00000000-0005-0000-0000-000080090000}"/>
    <cellStyle name="Comma 4 3 3 2 6 2" xfId="6687" xr:uid="{00000000-0005-0000-0000-000081090000}"/>
    <cellStyle name="Comma 4 3 3 2 6 2 2" xfId="15134" xr:uid="{DE67636E-6FCF-440A-8043-B7F240E5FC11}"/>
    <cellStyle name="Comma 4 3 3 2 6 3" xfId="10919" xr:uid="{2802A365-04E6-4FCC-B595-8D05A71499EA}"/>
    <cellStyle name="Comma 4 3 3 2 7" xfId="2360" xr:uid="{00000000-0005-0000-0000-000082090000}"/>
    <cellStyle name="Comma 4 3 3 2 8" xfId="2781" xr:uid="{00000000-0005-0000-0000-000083090000}"/>
    <cellStyle name="Comma 4 3 3 2 8 2" xfId="7004" xr:uid="{00000000-0005-0000-0000-000084090000}"/>
    <cellStyle name="Comma 4 3 3 2 8 2 2" xfId="15451" xr:uid="{E13D72F6-8299-42AB-8CB2-7CD28C02E9E7}"/>
    <cellStyle name="Comma 4 3 3 2 8 3" xfId="11236" xr:uid="{0F6F4292-4D03-40BE-994A-D74C08CA4DCA}"/>
    <cellStyle name="Comma 4 3 3 2 9" xfId="4621" xr:uid="{00000000-0005-0000-0000-000085090000}"/>
    <cellStyle name="Comma 4 3 3 2 9 2" xfId="13068" xr:uid="{E48D11FB-01BE-476C-B40E-D3863A912380}"/>
    <cellStyle name="Comma 4 3 3 3" xfId="686" xr:uid="{00000000-0005-0000-0000-000086090000}"/>
    <cellStyle name="Comma 4 3 3 3 2" xfId="2957" xr:uid="{00000000-0005-0000-0000-000087090000}"/>
    <cellStyle name="Comma 4 3 3 3 2 2" xfId="7179" xr:uid="{00000000-0005-0000-0000-000088090000}"/>
    <cellStyle name="Comma 4 3 3 3 2 2 2" xfId="15626" xr:uid="{E7B0769F-D129-46DF-A4A2-FDB59605E344}"/>
    <cellStyle name="Comma 4 3 3 3 2 3" xfId="11411" xr:uid="{3F4A8394-439B-4DBF-8DAB-AA588C331EDD}"/>
    <cellStyle name="Comma 4 3 3 3 3" xfId="5034" xr:uid="{00000000-0005-0000-0000-000089090000}"/>
    <cellStyle name="Comma 4 3 3 3 3 2" xfId="13481" xr:uid="{D5DE3770-B7BC-4705-AB3D-B49D0BBBCEE8}"/>
    <cellStyle name="Comma 4 3 3 3 4" xfId="9266" xr:uid="{817AC5F1-2AA7-465D-91A5-4F8F0A0D4C40}"/>
    <cellStyle name="Comma 4 3 3 4" xfId="1139" xr:uid="{00000000-0005-0000-0000-00008A090000}"/>
    <cellStyle name="Comma 4 3 3 4 2" xfId="3370" xr:uid="{00000000-0005-0000-0000-00008B090000}"/>
    <cellStyle name="Comma 4 3 3 4 2 2" xfId="7592" xr:uid="{00000000-0005-0000-0000-00008C090000}"/>
    <cellStyle name="Comma 4 3 3 4 2 2 2" xfId="16039" xr:uid="{206ACD3B-1DEF-4201-8913-38562E016C08}"/>
    <cellStyle name="Comma 4 3 3 4 2 3" xfId="11824" xr:uid="{596D4DC2-4515-4EC3-A7CD-C5FD2D259F0E}"/>
    <cellStyle name="Comma 4 3 3 4 3" xfId="5447" xr:uid="{00000000-0005-0000-0000-00008D090000}"/>
    <cellStyle name="Comma 4 3 3 4 3 2" xfId="13894" xr:uid="{41FA7B80-73C4-4858-BC57-C6CF43A4C480}"/>
    <cellStyle name="Comma 4 3 3 4 4" xfId="9679" xr:uid="{7CDAC612-B3E2-4945-8531-CCCFFCD77A12}"/>
    <cellStyle name="Comma 4 3 3 5" xfId="1553" xr:uid="{00000000-0005-0000-0000-00008E090000}"/>
    <cellStyle name="Comma 4 3 3 5 2" xfId="3783" xr:uid="{00000000-0005-0000-0000-00008F090000}"/>
    <cellStyle name="Comma 4 3 3 5 2 2" xfId="8005" xr:uid="{00000000-0005-0000-0000-000090090000}"/>
    <cellStyle name="Comma 4 3 3 5 2 2 2" xfId="16452" xr:uid="{A3E5B147-5820-4795-8CB1-EC344804C206}"/>
    <cellStyle name="Comma 4 3 3 5 2 3" xfId="12237" xr:uid="{77366D05-5CF1-45BB-B1AD-40A0910CE68C}"/>
    <cellStyle name="Comma 4 3 3 5 3" xfId="5860" xr:uid="{00000000-0005-0000-0000-000091090000}"/>
    <cellStyle name="Comma 4 3 3 5 3 2" xfId="14307" xr:uid="{9AC63667-FAE0-4184-8E49-390FE249AA26}"/>
    <cellStyle name="Comma 4 3 3 5 4" xfId="10092" xr:uid="{FD8B7E29-A031-4D88-B270-67A876605C25}"/>
    <cellStyle name="Comma 4 3 3 6" xfId="1967" xr:uid="{00000000-0005-0000-0000-000092090000}"/>
    <cellStyle name="Comma 4 3 3 6 2" xfId="4196" xr:uid="{00000000-0005-0000-0000-000093090000}"/>
    <cellStyle name="Comma 4 3 3 6 2 2" xfId="8418" xr:uid="{00000000-0005-0000-0000-000094090000}"/>
    <cellStyle name="Comma 4 3 3 6 2 2 2" xfId="16865" xr:uid="{EE3B05AC-59FB-4FC8-BD13-17634F10242B}"/>
    <cellStyle name="Comma 4 3 3 6 2 3" xfId="12650" xr:uid="{1CAF4249-11CF-4139-9190-2A270216D26E}"/>
    <cellStyle name="Comma 4 3 3 6 3" xfId="6273" xr:uid="{00000000-0005-0000-0000-000095090000}"/>
    <cellStyle name="Comma 4 3 3 6 3 2" xfId="14720" xr:uid="{97D95F63-CA1F-4EC3-B0B7-FB079670C9D6}"/>
    <cellStyle name="Comma 4 3 3 6 4" xfId="10505" xr:uid="{17B8ECF2-1900-4C06-A71E-ED009D4B6AF2}"/>
    <cellStyle name="Comma 4 3 3 7" xfId="2402" xr:uid="{00000000-0005-0000-0000-000096090000}"/>
    <cellStyle name="Comma 4 3 3 7 2" xfId="6686" xr:uid="{00000000-0005-0000-0000-000097090000}"/>
    <cellStyle name="Comma 4 3 3 7 2 2" xfId="15133" xr:uid="{ACBE3861-5FF0-4386-A36B-B7468776758C}"/>
    <cellStyle name="Comma 4 3 3 7 3" xfId="10918" xr:uid="{ACDE0CD7-107F-472B-A372-62788067D1D5}"/>
    <cellStyle name="Comma 4 3 3 8" xfId="2361" xr:uid="{00000000-0005-0000-0000-000098090000}"/>
    <cellStyle name="Comma 4 3 3 9" xfId="2780" xr:uid="{00000000-0005-0000-0000-000099090000}"/>
    <cellStyle name="Comma 4 3 3 9 2" xfId="7003" xr:uid="{00000000-0005-0000-0000-00009A090000}"/>
    <cellStyle name="Comma 4 3 3 9 2 2" xfId="15450" xr:uid="{AFD703A5-2CA8-405B-A480-2ABEB39B8FAB}"/>
    <cellStyle name="Comma 4 3 3 9 3" xfId="11235" xr:uid="{6DC9A450-D054-4144-9012-2B2A68CDCF72}"/>
    <cellStyle name="Comma 4 3 4" xfId="151" xr:uid="{00000000-0005-0000-0000-00009B090000}"/>
    <cellStyle name="Comma 4 3 4 10" xfId="8854" xr:uid="{24308C1D-AB9B-413D-ADCE-0D86B872776A}"/>
    <cellStyle name="Comma 4 3 4 2" xfId="688" xr:uid="{00000000-0005-0000-0000-00009C090000}"/>
    <cellStyle name="Comma 4 3 4 2 2" xfId="2959" xr:uid="{00000000-0005-0000-0000-00009D090000}"/>
    <cellStyle name="Comma 4 3 4 2 2 2" xfId="7181" xr:uid="{00000000-0005-0000-0000-00009E090000}"/>
    <cellStyle name="Comma 4 3 4 2 2 2 2" xfId="15628" xr:uid="{5E977E40-2D1B-4BAA-BA26-9992FAA6BC65}"/>
    <cellStyle name="Comma 4 3 4 2 2 3" xfId="11413" xr:uid="{0F32FF90-BD81-4165-9A83-5B35B1BE71D6}"/>
    <cellStyle name="Comma 4 3 4 2 3" xfId="5036" xr:uid="{00000000-0005-0000-0000-00009F090000}"/>
    <cellStyle name="Comma 4 3 4 2 3 2" xfId="13483" xr:uid="{F5982323-1901-4600-9403-9BB4756E6977}"/>
    <cellStyle name="Comma 4 3 4 2 4" xfId="9268" xr:uid="{EA20A6DA-BC53-4313-B853-DEF38BA07FC6}"/>
    <cellStyle name="Comma 4 3 4 3" xfId="1141" xr:uid="{00000000-0005-0000-0000-0000A0090000}"/>
    <cellStyle name="Comma 4 3 4 3 2" xfId="3372" xr:uid="{00000000-0005-0000-0000-0000A1090000}"/>
    <cellStyle name="Comma 4 3 4 3 2 2" xfId="7594" xr:uid="{00000000-0005-0000-0000-0000A2090000}"/>
    <cellStyle name="Comma 4 3 4 3 2 2 2" xfId="16041" xr:uid="{07CEA364-FA4F-45DF-A335-49F0D996D9FE}"/>
    <cellStyle name="Comma 4 3 4 3 2 3" xfId="11826" xr:uid="{9A593DBF-7891-4F4F-988B-AB93C2ABBC28}"/>
    <cellStyle name="Comma 4 3 4 3 3" xfId="5449" xr:uid="{00000000-0005-0000-0000-0000A3090000}"/>
    <cellStyle name="Comma 4 3 4 3 3 2" xfId="13896" xr:uid="{6401001A-381E-44AF-84F9-9D4569BAD8E1}"/>
    <cellStyle name="Comma 4 3 4 3 4" xfId="9681" xr:uid="{17491264-333A-4F73-A0B5-92EB8D9126FE}"/>
    <cellStyle name="Comma 4 3 4 4" xfId="1555" xr:uid="{00000000-0005-0000-0000-0000A4090000}"/>
    <cellStyle name="Comma 4 3 4 4 2" xfId="3785" xr:uid="{00000000-0005-0000-0000-0000A5090000}"/>
    <cellStyle name="Comma 4 3 4 4 2 2" xfId="8007" xr:uid="{00000000-0005-0000-0000-0000A6090000}"/>
    <cellStyle name="Comma 4 3 4 4 2 2 2" xfId="16454" xr:uid="{2FF1D823-2CBF-4B82-BCDA-A5249E060965}"/>
    <cellStyle name="Comma 4 3 4 4 2 3" xfId="12239" xr:uid="{DF1F9B28-E48B-4313-B22F-471C6F217EC6}"/>
    <cellStyle name="Comma 4 3 4 4 3" xfId="5862" xr:uid="{00000000-0005-0000-0000-0000A7090000}"/>
    <cellStyle name="Comma 4 3 4 4 3 2" xfId="14309" xr:uid="{2754B7C8-8037-448B-89B9-71EF66CAE57F}"/>
    <cellStyle name="Comma 4 3 4 4 4" xfId="10094" xr:uid="{FE0A58AE-D53A-4485-80B2-5BCCA593EA1B}"/>
    <cellStyle name="Comma 4 3 4 5" xfId="1969" xr:uid="{00000000-0005-0000-0000-0000A8090000}"/>
    <cellStyle name="Comma 4 3 4 5 2" xfId="4198" xr:uid="{00000000-0005-0000-0000-0000A9090000}"/>
    <cellStyle name="Comma 4 3 4 5 2 2" xfId="8420" xr:uid="{00000000-0005-0000-0000-0000AA090000}"/>
    <cellStyle name="Comma 4 3 4 5 2 2 2" xfId="16867" xr:uid="{67DB71F8-C8A5-4305-BD90-53DF01799710}"/>
    <cellStyle name="Comma 4 3 4 5 2 3" xfId="12652" xr:uid="{77E5D826-64B2-41E4-A29C-71EFC8E0F839}"/>
    <cellStyle name="Comma 4 3 4 5 3" xfId="6275" xr:uid="{00000000-0005-0000-0000-0000AB090000}"/>
    <cellStyle name="Comma 4 3 4 5 3 2" xfId="14722" xr:uid="{984BFB20-84B4-49BD-94F9-2C0FBD6C1D06}"/>
    <cellStyle name="Comma 4 3 4 5 4" xfId="10507" xr:uid="{55C4217E-191A-41C0-B093-62EC2AC7EA11}"/>
    <cellStyle name="Comma 4 3 4 6" xfId="2404" xr:uid="{00000000-0005-0000-0000-0000AC090000}"/>
    <cellStyle name="Comma 4 3 4 6 2" xfId="6688" xr:uid="{00000000-0005-0000-0000-0000AD090000}"/>
    <cellStyle name="Comma 4 3 4 6 2 2" xfId="15135" xr:uid="{09D416B4-1A76-4AC4-8208-A8A615F7D0E0}"/>
    <cellStyle name="Comma 4 3 4 6 3" xfId="10920" xr:uid="{DA6C2809-7F05-450A-8B84-E3DDB7AFA462}"/>
    <cellStyle name="Comma 4 3 4 7" xfId="2700" xr:uid="{00000000-0005-0000-0000-0000AE090000}"/>
    <cellStyle name="Comma 4 3 4 8" xfId="2782" xr:uid="{00000000-0005-0000-0000-0000AF090000}"/>
    <cellStyle name="Comma 4 3 4 8 2" xfId="7005" xr:uid="{00000000-0005-0000-0000-0000B0090000}"/>
    <cellStyle name="Comma 4 3 4 8 2 2" xfId="15452" xr:uid="{B43D07D9-4590-4B34-A204-CA8B114C4334}"/>
    <cellStyle name="Comma 4 3 4 8 3" xfId="11237" xr:uid="{819982B1-A690-42AD-96E2-97D87E1A5982}"/>
    <cellStyle name="Comma 4 3 4 9" xfId="4622" xr:uid="{00000000-0005-0000-0000-0000B1090000}"/>
    <cellStyle name="Comma 4 3 4 9 2" xfId="13069" xr:uid="{2FFD3F8A-DD11-47E8-9A43-DD6E5FDBF378}"/>
    <cellStyle name="Comma 4 3 5" xfId="152" xr:uid="{00000000-0005-0000-0000-0000B2090000}"/>
    <cellStyle name="Comma 4 3 5 10" xfId="8855" xr:uid="{7EE52746-2CAD-4FFC-9A63-D9FA374D170A}"/>
    <cellStyle name="Comma 4 3 5 2" xfId="689" xr:uid="{00000000-0005-0000-0000-0000B3090000}"/>
    <cellStyle name="Comma 4 3 5 2 2" xfId="2960" xr:uid="{00000000-0005-0000-0000-0000B4090000}"/>
    <cellStyle name="Comma 4 3 5 2 2 2" xfId="7182" xr:uid="{00000000-0005-0000-0000-0000B5090000}"/>
    <cellStyle name="Comma 4 3 5 2 2 2 2" xfId="15629" xr:uid="{E2B7F832-1C70-4B08-82B0-C225BE3E98E1}"/>
    <cellStyle name="Comma 4 3 5 2 2 3" xfId="11414" xr:uid="{228D8CE0-3865-454C-82E0-F7BCC3697814}"/>
    <cellStyle name="Comma 4 3 5 2 3" xfId="5037" xr:uid="{00000000-0005-0000-0000-0000B6090000}"/>
    <cellStyle name="Comma 4 3 5 2 3 2" xfId="13484" xr:uid="{5C671B56-1ACF-4390-8E76-A35605487606}"/>
    <cellStyle name="Comma 4 3 5 2 4" xfId="9269" xr:uid="{A7D49F0C-51A6-482F-8140-AA6C64729968}"/>
    <cellStyle name="Comma 4 3 5 3" xfId="1142" xr:uid="{00000000-0005-0000-0000-0000B7090000}"/>
    <cellStyle name="Comma 4 3 5 3 2" xfId="3373" xr:uid="{00000000-0005-0000-0000-0000B8090000}"/>
    <cellStyle name="Comma 4 3 5 3 2 2" xfId="7595" xr:uid="{00000000-0005-0000-0000-0000B9090000}"/>
    <cellStyle name="Comma 4 3 5 3 2 2 2" xfId="16042" xr:uid="{2D551BC8-E8DE-4AE3-B0F1-BDDA37A6270C}"/>
    <cellStyle name="Comma 4 3 5 3 2 3" xfId="11827" xr:uid="{53D9F3F7-D628-49E0-8262-530BE8F371AC}"/>
    <cellStyle name="Comma 4 3 5 3 3" xfId="5450" xr:uid="{00000000-0005-0000-0000-0000BA090000}"/>
    <cellStyle name="Comma 4 3 5 3 3 2" xfId="13897" xr:uid="{3AEC3713-0FD4-4422-8F29-B5A10B1F8CAC}"/>
    <cellStyle name="Comma 4 3 5 3 4" xfId="9682" xr:uid="{8F0D2B4C-9F5C-409B-8F3C-A889EC27D3E6}"/>
    <cellStyle name="Comma 4 3 5 4" xfId="1556" xr:uid="{00000000-0005-0000-0000-0000BB090000}"/>
    <cellStyle name="Comma 4 3 5 4 2" xfId="3786" xr:uid="{00000000-0005-0000-0000-0000BC090000}"/>
    <cellStyle name="Comma 4 3 5 4 2 2" xfId="8008" xr:uid="{00000000-0005-0000-0000-0000BD090000}"/>
    <cellStyle name="Comma 4 3 5 4 2 2 2" xfId="16455" xr:uid="{A9CE4217-0E33-420A-8DFA-572C692D5E5B}"/>
    <cellStyle name="Comma 4 3 5 4 2 3" xfId="12240" xr:uid="{747626F4-172A-4D88-BAF0-26FEA97BAB0C}"/>
    <cellStyle name="Comma 4 3 5 4 3" xfId="5863" xr:uid="{00000000-0005-0000-0000-0000BE090000}"/>
    <cellStyle name="Comma 4 3 5 4 3 2" xfId="14310" xr:uid="{08CE1BE1-A03A-44C7-80E8-F61FA6FBC595}"/>
    <cellStyle name="Comma 4 3 5 4 4" xfId="10095" xr:uid="{50CAD340-1599-4659-96BD-05D6E263FE03}"/>
    <cellStyle name="Comma 4 3 5 5" xfId="1970" xr:uid="{00000000-0005-0000-0000-0000BF090000}"/>
    <cellStyle name="Comma 4 3 5 5 2" xfId="4199" xr:uid="{00000000-0005-0000-0000-0000C0090000}"/>
    <cellStyle name="Comma 4 3 5 5 2 2" xfId="8421" xr:uid="{00000000-0005-0000-0000-0000C1090000}"/>
    <cellStyle name="Comma 4 3 5 5 2 2 2" xfId="16868" xr:uid="{1E63E81D-3D33-43C7-9197-70C4C2A8EEE8}"/>
    <cellStyle name="Comma 4 3 5 5 2 3" xfId="12653" xr:uid="{DC12667C-CF1C-4318-84F1-D85CC8B51FCA}"/>
    <cellStyle name="Comma 4 3 5 5 3" xfId="6276" xr:uid="{00000000-0005-0000-0000-0000C2090000}"/>
    <cellStyle name="Comma 4 3 5 5 3 2" xfId="14723" xr:uid="{20D0D7A9-F95C-43DA-B1B0-E4557107B650}"/>
    <cellStyle name="Comma 4 3 5 5 4" xfId="10508" xr:uid="{0BB0F079-5A0B-4E71-8A33-03DBC064D9A6}"/>
    <cellStyle name="Comma 4 3 5 6" xfId="2405" xr:uid="{00000000-0005-0000-0000-0000C3090000}"/>
    <cellStyle name="Comma 4 3 5 6 2" xfId="6689" xr:uid="{00000000-0005-0000-0000-0000C4090000}"/>
    <cellStyle name="Comma 4 3 5 6 2 2" xfId="15136" xr:uid="{FF8E14E9-6BFD-4D36-8AB0-AB3FA9B74D05}"/>
    <cellStyle name="Comma 4 3 5 6 3" xfId="10921" xr:uid="{8C0B9790-96BC-44C2-9F19-292433853E17}"/>
    <cellStyle name="Comma 4 3 5 7" xfId="2701" xr:uid="{00000000-0005-0000-0000-0000C5090000}"/>
    <cellStyle name="Comma 4 3 5 8" xfId="2783" xr:uid="{00000000-0005-0000-0000-0000C6090000}"/>
    <cellStyle name="Comma 4 3 5 8 2" xfId="7006" xr:uid="{00000000-0005-0000-0000-0000C7090000}"/>
    <cellStyle name="Comma 4 3 5 8 2 2" xfId="15453" xr:uid="{D5F22838-1593-4A7F-8026-086AE4EC8270}"/>
    <cellStyle name="Comma 4 3 5 8 3" xfId="11238" xr:uid="{BC0D8660-4ED6-4087-B031-A412FDE3427C}"/>
    <cellStyle name="Comma 4 3 5 9" xfId="4623" xr:uid="{00000000-0005-0000-0000-0000C8090000}"/>
    <cellStyle name="Comma 4 3 5 9 2" xfId="13070" xr:uid="{A81048EA-B22B-48C3-8848-6C9680EEA066}"/>
    <cellStyle name="Comma 4 4" xfId="153" xr:uid="{00000000-0005-0000-0000-0000C9090000}"/>
    <cellStyle name="Comma 4 4 10" xfId="2784" xr:uid="{00000000-0005-0000-0000-0000CA090000}"/>
    <cellStyle name="Comma 4 4 10 2" xfId="7007" xr:uid="{00000000-0005-0000-0000-0000CB090000}"/>
    <cellStyle name="Comma 4 4 10 2 2" xfId="15454" xr:uid="{8F22AC5E-953F-493A-B417-1F153964F32E}"/>
    <cellStyle name="Comma 4 4 10 3" xfId="11239" xr:uid="{77E24BAB-019E-44F0-9535-FED10842A07A}"/>
    <cellStyle name="Comma 4 4 11" xfId="4624" xr:uid="{00000000-0005-0000-0000-0000CC090000}"/>
    <cellStyle name="Comma 4 4 11 2" xfId="13071" xr:uid="{9228247C-5290-4D8D-9E50-5B477515B407}"/>
    <cellStyle name="Comma 4 4 12" xfId="8856" xr:uid="{97055635-4088-4ADC-9B2B-61EED1D9B0BE}"/>
    <cellStyle name="Comma 4 4 2" xfId="154" xr:uid="{00000000-0005-0000-0000-0000CD090000}"/>
    <cellStyle name="Comma 4 4 2 10" xfId="4625" xr:uid="{00000000-0005-0000-0000-0000CE090000}"/>
    <cellStyle name="Comma 4 4 2 10 2" xfId="13072" xr:uid="{9B1FFA21-EF3C-4C78-93BD-73119D513779}"/>
    <cellStyle name="Comma 4 4 2 11" xfId="8857" xr:uid="{6153E6BA-4A0E-4CDB-B527-35EC8D569A0F}"/>
    <cellStyle name="Comma 4 4 2 2" xfId="155" xr:uid="{00000000-0005-0000-0000-0000CF090000}"/>
    <cellStyle name="Comma 4 4 2 2 10" xfId="8858" xr:uid="{20E855C0-B319-4D26-9407-A50EF365911B}"/>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2" xr:uid="{737F4B1D-C868-47AB-91A4-4AC0D5463616}"/>
    <cellStyle name="Comma 4 4 2 2 2 2 3" xfId="11417" xr:uid="{DA87F9FC-0C46-4156-BA03-1EA32545FE4A}"/>
    <cellStyle name="Comma 4 4 2 2 2 3" xfId="5040" xr:uid="{00000000-0005-0000-0000-0000D3090000}"/>
    <cellStyle name="Comma 4 4 2 2 2 3 2" xfId="13487" xr:uid="{103BDD06-FFF1-4300-B258-6CD5059B11D0}"/>
    <cellStyle name="Comma 4 4 2 2 2 4" xfId="9272" xr:uid="{6BD3CA4D-E10B-4179-9B28-6A4908D44DF3}"/>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5" xr:uid="{78E42A4E-8139-4714-BE5D-D400F83B35ED}"/>
    <cellStyle name="Comma 4 4 2 2 3 2 3" xfId="11830" xr:uid="{EE2B1EFB-E4FE-47BD-8E34-1DF8F819FE7D}"/>
    <cellStyle name="Comma 4 4 2 2 3 3" xfId="5453" xr:uid="{00000000-0005-0000-0000-0000D7090000}"/>
    <cellStyle name="Comma 4 4 2 2 3 3 2" xfId="13900" xr:uid="{8D8E5E52-87C4-4045-A4DC-8A92E27BE138}"/>
    <cellStyle name="Comma 4 4 2 2 3 4" xfId="9685" xr:uid="{7819992B-0E82-4FB5-BD3C-7BA20EDF2394}"/>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58" xr:uid="{CA3CFEA4-0880-4187-9AE1-EC38B1F3E18D}"/>
    <cellStyle name="Comma 4 4 2 2 4 2 3" xfId="12243" xr:uid="{070FFC24-2583-4FCE-A9BD-913C1F77C694}"/>
    <cellStyle name="Comma 4 4 2 2 4 3" xfId="5866" xr:uid="{00000000-0005-0000-0000-0000DB090000}"/>
    <cellStyle name="Comma 4 4 2 2 4 3 2" xfId="14313" xr:uid="{8996E211-AA3E-48F8-867A-CD29B7BC75BB}"/>
    <cellStyle name="Comma 4 4 2 2 4 4" xfId="10098" xr:uid="{235B9DFD-FBE5-47BA-89F0-F616ADDEE3FF}"/>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1" xr:uid="{CBC4DEF1-E3CF-41AB-98DC-0F8734075FA8}"/>
    <cellStyle name="Comma 4 4 2 2 5 2 3" xfId="12656" xr:uid="{660FF3AA-674D-425E-A952-C7E3FFAFAC25}"/>
    <cellStyle name="Comma 4 4 2 2 5 3" xfId="6279" xr:uid="{00000000-0005-0000-0000-0000DF090000}"/>
    <cellStyle name="Comma 4 4 2 2 5 3 2" xfId="14726" xr:uid="{C2B4B8B3-435D-4A44-BFBC-CAAD0E9EA875}"/>
    <cellStyle name="Comma 4 4 2 2 5 4" xfId="10511" xr:uid="{6327DF9C-578A-415D-9116-77F83B840E73}"/>
    <cellStyle name="Comma 4 4 2 2 6" xfId="2408" xr:uid="{00000000-0005-0000-0000-0000E0090000}"/>
    <cellStyle name="Comma 4 4 2 2 6 2" xfId="6692" xr:uid="{00000000-0005-0000-0000-0000E1090000}"/>
    <cellStyle name="Comma 4 4 2 2 6 2 2" xfId="15139" xr:uid="{FD1B3A8B-5CA4-4ED2-BD87-71B21C728C63}"/>
    <cellStyle name="Comma 4 4 2 2 6 3" xfId="10924" xr:uid="{625D315D-B36B-4CA7-87F0-9ABE0AE3DBF8}"/>
    <cellStyle name="Comma 4 4 2 2 7" xfId="2704" xr:uid="{00000000-0005-0000-0000-0000E2090000}"/>
    <cellStyle name="Comma 4 4 2 2 8" xfId="2786" xr:uid="{00000000-0005-0000-0000-0000E3090000}"/>
    <cellStyle name="Comma 4 4 2 2 8 2" xfId="7009" xr:uid="{00000000-0005-0000-0000-0000E4090000}"/>
    <cellStyle name="Comma 4 4 2 2 8 2 2" xfId="15456" xr:uid="{39F63E92-FF73-423A-92D0-862AAAADA702}"/>
    <cellStyle name="Comma 4 4 2 2 8 3" xfId="11241" xr:uid="{2B8C3804-2752-40CB-9AB3-C9BF0C612ECA}"/>
    <cellStyle name="Comma 4 4 2 2 9" xfId="4626" xr:uid="{00000000-0005-0000-0000-0000E5090000}"/>
    <cellStyle name="Comma 4 4 2 2 9 2" xfId="13073" xr:uid="{4008838E-1E82-4C01-A5DA-769EDDDDDC96}"/>
    <cellStyle name="Comma 4 4 2 3" xfId="691" xr:uid="{00000000-0005-0000-0000-0000E6090000}"/>
    <cellStyle name="Comma 4 4 2 3 2" xfId="2962" xr:uid="{00000000-0005-0000-0000-0000E7090000}"/>
    <cellStyle name="Comma 4 4 2 3 2 2" xfId="7184" xr:uid="{00000000-0005-0000-0000-0000E8090000}"/>
    <cellStyle name="Comma 4 4 2 3 2 2 2" xfId="15631" xr:uid="{D47D8BD7-7E75-4B5B-9026-3BB13565F9B7}"/>
    <cellStyle name="Comma 4 4 2 3 2 3" xfId="11416" xr:uid="{65A757F9-5ABC-435E-86CD-47AB82091BBE}"/>
    <cellStyle name="Comma 4 4 2 3 3" xfId="5039" xr:uid="{00000000-0005-0000-0000-0000E9090000}"/>
    <cellStyle name="Comma 4 4 2 3 3 2" xfId="13486" xr:uid="{6B021880-6543-4A69-B5F6-F1BAF0A512D3}"/>
    <cellStyle name="Comma 4 4 2 3 4" xfId="9271" xr:uid="{BC00DE2C-B3B5-4FCB-AEED-2DCB4A88FF69}"/>
    <cellStyle name="Comma 4 4 2 4" xfId="1144" xr:uid="{00000000-0005-0000-0000-0000EA090000}"/>
    <cellStyle name="Comma 4 4 2 4 2" xfId="3375" xr:uid="{00000000-0005-0000-0000-0000EB090000}"/>
    <cellStyle name="Comma 4 4 2 4 2 2" xfId="7597" xr:uid="{00000000-0005-0000-0000-0000EC090000}"/>
    <cellStyle name="Comma 4 4 2 4 2 2 2" xfId="16044" xr:uid="{0939FFED-28F9-44DD-B8AF-C2D1B56352BD}"/>
    <cellStyle name="Comma 4 4 2 4 2 3" xfId="11829" xr:uid="{396F051C-A81A-4A3D-8A53-A74EEF7A3267}"/>
    <cellStyle name="Comma 4 4 2 4 3" xfId="5452" xr:uid="{00000000-0005-0000-0000-0000ED090000}"/>
    <cellStyle name="Comma 4 4 2 4 3 2" xfId="13899" xr:uid="{72DBA1E4-D3BA-4912-8E1A-B0415A0B2CC8}"/>
    <cellStyle name="Comma 4 4 2 4 4" xfId="9684" xr:uid="{A6753106-5741-45BD-9761-1E1D1DE54C01}"/>
    <cellStyle name="Comma 4 4 2 5" xfId="1558" xr:uid="{00000000-0005-0000-0000-0000EE090000}"/>
    <cellStyle name="Comma 4 4 2 5 2" xfId="3788" xr:uid="{00000000-0005-0000-0000-0000EF090000}"/>
    <cellStyle name="Comma 4 4 2 5 2 2" xfId="8010" xr:uid="{00000000-0005-0000-0000-0000F0090000}"/>
    <cellStyle name="Comma 4 4 2 5 2 2 2" xfId="16457" xr:uid="{A7C5D0BA-6ADA-4DA1-84AA-C00FCDB530F7}"/>
    <cellStyle name="Comma 4 4 2 5 2 3" xfId="12242" xr:uid="{CEEE6B8B-6C7D-406F-AB9A-356DD77F2C86}"/>
    <cellStyle name="Comma 4 4 2 5 3" xfId="5865" xr:uid="{00000000-0005-0000-0000-0000F1090000}"/>
    <cellStyle name="Comma 4 4 2 5 3 2" xfId="14312" xr:uid="{DFBFEC05-4CDC-4E71-AB76-4132F2289731}"/>
    <cellStyle name="Comma 4 4 2 5 4" xfId="10097" xr:uid="{A2F344D0-C0B7-4178-A428-9DFE6CC2679D}"/>
    <cellStyle name="Comma 4 4 2 6" xfId="1972" xr:uid="{00000000-0005-0000-0000-0000F2090000}"/>
    <cellStyle name="Comma 4 4 2 6 2" xfId="4201" xr:uid="{00000000-0005-0000-0000-0000F3090000}"/>
    <cellStyle name="Comma 4 4 2 6 2 2" xfId="8423" xr:uid="{00000000-0005-0000-0000-0000F4090000}"/>
    <cellStyle name="Comma 4 4 2 6 2 2 2" xfId="16870" xr:uid="{20C4B2C2-B97E-4EF0-AF1F-895D5A70DF0D}"/>
    <cellStyle name="Comma 4 4 2 6 2 3" xfId="12655" xr:uid="{7DC8E427-940F-4FB4-A020-B4E653A08BE5}"/>
    <cellStyle name="Comma 4 4 2 6 3" xfId="6278" xr:uid="{00000000-0005-0000-0000-0000F5090000}"/>
    <cellStyle name="Comma 4 4 2 6 3 2" xfId="14725" xr:uid="{0C5FE124-A02F-4085-8359-99574D692FD0}"/>
    <cellStyle name="Comma 4 4 2 6 4" xfId="10510" xr:uid="{C75AE166-7095-493D-934E-65070724561C}"/>
    <cellStyle name="Comma 4 4 2 7" xfId="2407" xr:uid="{00000000-0005-0000-0000-0000F6090000}"/>
    <cellStyle name="Comma 4 4 2 7 2" xfId="6691" xr:uid="{00000000-0005-0000-0000-0000F7090000}"/>
    <cellStyle name="Comma 4 4 2 7 2 2" xfId="15138" xr:uid="{14703237-D692-4076-B508-E2F1DDD94E0E}"/>
    <cellStyle name="Comma 4 4 2 7 3" xfId="10923" xr:uid="{AD51D912-1060-490F-877C-0A94D8B758F0}"/>
    <cellStyle name="Comma 4 4 2 8" xfId="2703" xr:uid="{00000000-0005-0000-0000-0000F8090000}"/>
    <cellStyle name="Comma 4 4 2 9" xfId="2785" xr:uid="{00000000-0005-0000-0000-0000F9090000}"/>
    <cellStyle name="Comma 4 4 2 9 2" xfId="7008" xr:uid="{00000000-0005-0000-0000-0000FA090000}"/>
    <cellStyle name="Comma 4 4 2 9 2 2" xfId="15455" xr:uid="{67C19784-C6AF-472E-91D5-3DFAB88D1027}"/>
    <cellStyle name="Comma 4 4 2 9 3" xfId="11240" xr:uid="{CB9089F0-9F3E-422F-BD2F-1B211F53D55D}"/>
    <cellStyle name="Comma 4 4 3" xfId="156" xr:uid="{00000000-0005-0000-0000-0000FB090000}"/>
    <cellStyle name="Comma 4 4 3 10" xfId="8859" xr:uid="{74C16451-74C7-4599-A1AB-345CCD44562B}"/>
    <cellStyle name="Comma 4 4 3 2" xfId="693" xr:uid="{00000000-0005-0000-0000-0000FC090000}"/>
    <cellStyle name="Comma 4 4 3 2 2" xfId="2964" xr:uid="{00000000-0005-0000-0000-0000FD090000}"/>
    <cellStyle name="Comma 4 4 3 2 2 2" xfId="7186" xr:uid="{00000000-0005-0000-0000-0000FE090000}"/>
    <cellStyle name="Comma 4 4 3 2 2 2 2" xfId="15633" xr:uid="{7C108E05-0898-46A6-B31E-DA513B5CF4F3}"/>
    <cellStyle name="Comma 4 4 3 2 2 3" xfId="11418" xr:uid="{296E7BC5-FCB0-4BC1-BF99-9E7EDD3C45DC}"/>
    <cellStyle name="Comma 4 4 3 2 3" xfId="5041" xr:uid="{00000000-0005-0000-0000-0000FF090000}"/>
    <cellStyle name="Comma 4 4 3 2 3 2" xfId="13488" xr:uid="{48E46E0C-1F0F-4909-9814-0195A47F1D91}"/>
    <cellStyle name="Comma 4 4 3 2 4" xfId="9273" xr:uid="{9C5AC379-4514-4786-A0AD-35361002FAAB}"/>
    <cellStyle name="Comma 4 4 3 3" xfId="1146" xr:uid="{00000000-0005-0000-0000-0000000A0000}"/>
    <cellStyle name="Comma 4 4 3 3 2" xfId="3377" xr:uid="{00000000-0005-0000-0000-0000010A0000}"/>
    <cellStyle name="Comma 4 4 3 3 2 2" xfId="7599" xr:uid="{00000000-0005-0000-0000-0000020A0000}"/>
    <cellStyle name="Comma 4 4 3 3 2 2 2" xfId="16046" xr:uid="{62EDA05F-F973-4E3C-98A4-00F997E26042}"/>
    <cellStyle name="Comma 4 4 3 3 2 3" xfId="11831" xr:uid="{86A5CE6A-D832-43F1-BD88-5D7F4DC46E39}"/>
    <cellStyle name="Comma 4 4 3 3 3" xfId="5454" xr:uid="{00000000-0005-0000-0000-0000030A0000}"/>
    <cellStyle name="Comma 4 4 3 3 3 2" xfId="13901" xr:uid="{921E98E2-BEE5-4DF8-A365-31DF5FA33DFE}"/>
    <cellStyle name="Comma 4 4 3 3 4" xfId="9686" xr:uid="{E87EBBAF-A77D-4F15-AADE-29E61D311F50}"/>
    <cellStyle name="Comma 4 4 3 4" xfId="1560" xr:uid="{00000000-0005-0000-0000-0000040A0000}"/>
    <cellStyle name="Comma 4 4 3 4 2" xfId="3790" xr:uid="{00000000-0005-0000-0000-0000050A0000}"/>
    <cellStyle name="Comma 4 4 3 4 2 2" xfId="8012" xr:uid="{00000000-0005-0000-0000-0000060A0000}"/>
    <cellStyle name="Comma 4 4 3 4 2 2 2" xfId="16459" xr:uid="{27ACBF52-267D-4C05-9243-1D6E66D21C81}"/>
    <cellStyle name="Comma 4 4 3 4 2 3" xfId="12244" xr:uid="{6ACF85E1-9D22-411F-A3D4-F8E6F76DE70C}"/>
    <cellStyle name="Comma 4 4 3 4 3" xfId="5867" xr:uid="{00000000-0005-0000-0000-0000070A0000}"/>
    <cellStyle name="Comma 4 4 3 4 3 2" xfId="14314" xr:uid="{7DA26F28-796D-47C6-9AEB-2DE24AAD4CE9}"/>
    <cellStyle name="Comma 4 4 3 4 4" xfId="10099" xr:uid="{B57E08A4-310B-4BEE-889B-0BA91BE98A6C}"/>
    <cellStyle name="Comma 4 4 3 5" xfId="1974" xr:uid="{00000000-0005-0000-0000-0000080A0000}"/>
    <cellStyle name="Comma 4 4 3 5 2" xfId="4203" xr:uid="{00000000-0005-0000-0000-0000090A0000}"/>
    <cellStyle name="Comma 4 4 3 5 2 2" xfId="8425" xr:uid="{00000000-0005-0000-0000-00000A0A0000}"/>
    <cellStyle name="Comma 4 4 3 5 2 2 2" xfId="16872" xr:uid="{4BBCC019-60EE-4861-B8C6-AE086B92585D}"/>
    <cellStyle name="Comma 4 4 3 5 2 3" xfId="12657" xr:uid="{F5657CC0-C238-4E5B-9570-8A7271E56DC4}"/>
    <cellStyle name="Comma 4 4 3 5 3" xfId="6280" xr:uid="{00000000-0005-0000-0000-00000B0A0000}"/>
    <cellStyle name="Comma 4 4 3 5 3 2" xfId="14727" xr:uid="{CCDC0971-0C11-4FBB-8889-2CA3B078DA45}"/>
    <cellStyle name="Comma 4 4 3 5 4" xfId="10512" xr:uid="{98EB11D0-51B4-42AE-8DC4-423CE7FAAF87}"/>
    <cellStyle name="Comma 4 4 3 6" xfId="2409" xr:uid="{00000000-0005-0000-0000-00000C0A0000}"/>
    <cellStyle name="Comma 4 4 3 6 2" xfId="6693" xr:uid="{00000000-0005-0000-0000-00000D0A0000}"/>
    <cellStyle name="Comma 4 4 3 6 2 2" xfId="15140" xr:uid="{9A86CAD8-6CE2-4B14-86BC-3CE9E2522CD9}"/>
    <cellStyle name="Comma 4 4 3 6 3" xfId="10925" xr:uid="{E7A35119-D1EC-4B8A-BD5E-CA951699990E}"/>
    <cellStyle name="Comma 4 4 3 7" xfId="2705" xr:uid="{00000000-0005-0000-0000-00000E0A0000}"/>
    <cellStyle name="Comma 4 4 3 8" xfId="2787" xr:uid="{00000000-0005-0000-0000-00000F0A0000}"/>
    <cellStyle name="Comma 4 4 3 8 2" xfId="7010" xr:uid="{00000000-0005-0000-0000-0000100A0000}"/>
    <cellStyle name="Comma 4 4 3 8 2 2" xfId="15457" xr:uid="{0A7EFE2D-82FF-47C3-B3C2-6565F369C241}"/>
    <cellStyle name="Comma 4 4 3 8 3" xfId="11242" xr:uid="{2372C2C4-FFDB-465D-A580-22EAD5E40CA0}"/>
    <cellStyle name="Comma 4 4 3 9" xfId="4627" xr:uid="{00000000-0005-0000-0000-0000110A0000}"/>
    <cellStyle name="Comma 4 4 3 9 2" xfId="13074" xr:uid="{666803D3-8FDF-43A1-9B13-1A0A114E6B48}"/>
    <cellStyle name="Comma 4 4 4" xfId="690" xr:uid="{00000000-0005-0000-0000-0000120A0000}"/>
    <cellStyle name="Comma 4 4 4 2" xfId="2961" xr:uid="{00000000-0005-0000-0000-0000130A0000}"/>
    <cellStyle name="Comma 4 4 4 2 2" xfId="7183" xr:uid="{00000000-0005-0000-0000-0000140A0000}"/>
    <cellStyle name="Comma 4 4 4 2 2 2" xfId="15630" xr:uid="{7A5A943E-2462-416B-9108-091D49F30AB5}"/>
    <cellStyle name="Comma 4 4 4 2 3" xfId="11415" xr:uid="{045B424F-551B-42D9-8268-28B752BAA7E7}"/>
    <cellStyle name="Comma 4 4 4 3" xfId="5038" xr:uid="{00000000-0005-0000-0000-0000150A0000}"/>
    <cellStyle name="Comma 4 4 4 3 2" xfId="13485" xr:uid="{767F7477-CC5D-4573-A0EE-E6AEC9B38AE2}"/>
    <cellStyle name="Comma 4 4 4 4" xfId="9270" xr:uid="{73CB6337-5950-444E-88A3-ED2FC8FDAA76}"/>
    <cellStyle name="Comma 4 4 5" xfId="1143" xr:uid="{00000000-0005-0000-0000-0000160A0000}"/>
    <cellStyle name="Comma 4 4 5 2" xfId="3374" xr:uid="{00000000-0005-0000-0000-0000170A0000}"/>
    <cellStyle name="Comma 4 4 5 2 2" xfId="7596" xr:uid="{00000000-0005-0000-0000-0000180A0000}"/>
    <cellStyle name="Comma 4 4 5 2 2 2" xfId="16043" xr:uid="{B01340BE-4D33-4702-A6C5-2C7BD70639E4}"/>
    <cellStyle name="Comma 4 4 5 2 3" xfId="11828" xr:uid="{C01F160F-17F9-4434-94B0-85EA8086B8A2}"/>
    <cellStyle name="Comma 4 4 5 3" xfId="5451" xr:uid="{00000000-0005-0000-0000-0000190A0000}"/>
    <cellStyle name="Comma 4 4 5 3 2" xfId="13898" xr:uid="{0B7B35B8-AD76-4372-927D-B2D7E71BC148}"/>
    <cellStyle name="Comma 4 4 5 4" xfId="9683" xr:uid="{793EA816-F968-49D1-8881-ECB7BAC95D3A}"/>
    <cellStyle name="Comma 4 4 6" xfId="1557" xr:uid="{00000000-0005-0000-0000-00001A0A0000}"/>
    <cellStyle name="Comma 4 4 6 2" xfId="3787" xr:uid="{00000000-0005-0000-0000-00001B0A0000}"/>
    <cellStyle name="Comma 4 4 6 2 2" xfId="8009" xr:uid="{00000000-0005-0000-0000-00001C0A0000}"/>
    <cellStyle name="Comma 4 4 6 2 2 2" xfId="16456" xr:uid="{10E22F58-EA43-4E89-B7D1-67CF4821EAEB}"/>
    <cellStyle name="Comma 4 4 6 2 3" xfId="12241" xr:uid="{CACF9D74-6533-4D8F-9B30-FB7C8660C400}"/>
    <cellStyle name="Comma 4 4 6 3" xfId="5864" xr:uid="{00000000-0005-0000-0000-00001D0A0000}"/>
    <cellStyle name="Comma 4 4 6 3 2" xfId="14311" xr:uid="{83B3AE7F-CEE3-4E54-AB51-9A03C41E64BC}"/>
    <cellStyle name="Comma 4 4 6 4" xfId="10096" xr:uid="{1F34E992-C631-486C-8D51-05BE031B3ACC}"/>
    <cellStyle name="Comma 4 4 7" xfId="1971" xr:uid="{00000000-0005-0000-0000-00001E0A0000}"/>
    <cellStyle name="Comma 4 4 7 2" xfId="4200" xr:uid="{00000000-0005-0000-0000-00001F0A0000}"/>
    <cellStyle name="Comma 4 4 7 2 2" xfId="8422" xr:uid="{00000000-0005-0000-0000-0000200A0000}"/>
    <cellStyle name="Comma 4 4 7 2 2 2" xfId="16869" xr:uid="{F00218BA-E115-473D-A23A-F3851636B524}"/>
    <cellStyle name="Comma 4 4 7 2 3" xfId="12654" xr:uid="{0AD42DEC-5119-4919-A2F3-BB7DC97FA3E3}"/>
    <cellStyle name="Comma 4 4 7 3" xfId="6277" xr:uid="{00000000-0005-0000-0000-0000210A0000}"/>
    <cellStyle name="Comma 4 4 7 3 2" xfId="14724" xr:uid="{846B0657-97FD-4CFC-9DB9-759128C47511}"/>
    <cellStyle name="Comma 4 4 7 4" xfId="10509" xr:uid="{F36BF8FC-E719-425D-9C68-CD9619B55241}"/>
    <cellStyle name="Comma 4 4 8" xfId="2406" xr:uid="{00000000-0005-0000-0000-0000220A0000}"/>
    <cellStyle name="Comma 4 4 8 2" xfId="6690" xr:uid="{00000000-0005-0000-0000-0000230A0000}"/>
    <cellStyle name="Comma 4 4 8 2 2" xfId="15137" xr:uid="{38F20DD4-A5C8-4656-97D0-79EC39449FE7}"/>
    <cellStyle name="Comma 4 4 8 3" xfId="10922" xr:uid="{115116CF-7C30-4B3F-BD39-F23C9933486D}"/>
    <cellStyle name="Comma 4 4 9" xfId="2702" xr:uid="{00000000-0005-0000-0000-0000240A0000}"/>
    <cellStyle name="Comma 4 5" xfId="157" xr:uid="{00000000-0005-0000-0000-0000250A0000}"/>
    <cellStyle name="Comma 4 5 10" xfId="4628" xr:uid="{00000000-0005-0000-0000-0000260A0000}"/>
    <cellStyle name="Comma 4 5 10 2" xfId="13075" xr:uid="{5D330A1D-47A5-4CDA-98F4-A010148B61BB}"/>
    <cellStyle name="Comma 4 5 11" xfId="8860" xr:uid="{FD400B91-5D49-4857-B5A6-9E7B80F7C5C4}"/>
    <cellStyle name="Comma 4 5 2" xfId="158" xr:uid="{00000000-0005-0000-0000-0000270A0000}"/>
    <cellStyle name="Comma 4 5 2 10" xfId="8861" xr:uid="{A6CE5F30-EE9C-4E52-8833-70C0B8DBA625}"/>
    <cellStyle name="Comma 4 5 2 2" xfId="695" xr:uid="{00000000-0005-0000-0000-0000280A0000}"/>
    <cellStyle name="Comma 4 5 2 2 2" xfId="2966" xr:uid="{00000000-0005-0000-0000-0000290A0000}"/>
    <cellStyle name="Comma 4 5 2 2 2 2" xfId="7188" xr:uid="{00000000-0005-0000-0000-00002A0A0000}"/>
    <cellStyle name="Comma 4 5 2 2 2 2 2" xfId="15635" xr:uid="{9CA24763-5EC6-4D4D-9CB1-DC153C31ED80}"/>
    <cellStyle name="Comma 4 5 2 2 2 3" xfId="11420" xr:uid="{D1D0ACC5-47D3-4521-BAE5-D8B5033ABCCB}"/>
    <cellStyle name="Comma 4 5 2 2 3" xfId="5043" xr:uid="{00000000-0005-0000-0000-00002B0A0000}"/>
    <cellStyle name="Comma 4 5 2 2 3 2" xfId="13490" xr:uid="{C492402B-246F-4764-9560-3C989149C6C2}"/>
    <cellStyle name="Comma 4 5 2 2 4" xfId="9275" xr:uid="{2496296D-A0BD-4642-BF9A-41680A1447CC}"/>
    <cellStyle name="Comma 4 5 2 3" xfId="1148" xr:uid="{00000000-0005-0000-0000-00002C0A0000}"/>
    <cellStyle name="Comma 4 5 2 3 2" xfId="3379" xr:uid="{00000000-0005-0000-0000-00002D0A0000}"/>
    <cellStyle name="Comma 4 5 2 3 2 2" xfId="7601" xr:uid="{00000000-0005-0000-0000-00002E0A0000}"/>
    <cellStyle name="Comma 4 5 2 3 2 2 2" xfId="16048" xr:uid="{7D083053-4736-475C-B17A-CD2D4B65E872}"/>
    <cellStyle name="Comma 4 5 2 3 2 3" xfId="11833" xr:uid="{538DD492-80FE-4D2A-BA2A-4B9A9BDC53E8}"/>
    <cellStyle name="Comma 4 5 2 3 3" xfId="5456" xr:uid="{00000000-0005-0000-0000-00002F0A0000}"/>
    <cellStyle name="Comma 4 5 2 3 3 2" xfId="13903" xr:uid="{BB4745FC-8519-447D-A6C3-5A30500C49A8}"/>
    <cellStyle name="Comma 4 5 2 3 4" xfId="9688" xr:uid="{D5FE7B2F-F026-4D44-830E-59F408A31B59}"/>
    <cellStyle name="Comma 4 5 2 4" xfId="1562" xr:uid="{00000000-0005-0000-0000-0000300A0000}"/>
    <cellStyle name="Comma 4 5 2 4 2" xfId="3792" xr:uid="{00000000-0005-0000-0000-0000310A0000}"/>
    <cellStyle name="Comma 4 5 2 4 2 2" xfId="8014" xr:uid="{00000000-0005-0000-0000-0000320A0000}"/>
    <cellStyle name="Comma 4 5 2 4 2 2 2" xfId="16461" xr:uid="{498A946C-DFAD-4468-BB61-1D542316406B}"/>
    <cellStyle name="Comma 4 5 2 4 2 3" xfId="12246" xr:uid="{77DAC3EB-7946-4A05-A711-160C8764A13F}"/>
    <cellStyle name="Comma 4 5 2 4 3" xfId="5869" xr:uid="{00000000-0005-0000-0000-0000330A0000}"/>
    <cellStyle name="Comma 4 5 2 4 3 2" xfId="14316" xr:uid="{1CF0ECA3-360F-4352-8BB0-781C8061DFBE}"/>
    <cellStyle name="Comma 4 5 2 4 4" xfId="10101" xr:uid="{172DAEC1-568C-49DA-B437-87ACF360046E}"/>
    <cellStyle name="Comma 4 5 2 5" xfId="1976" xr:uid="{00000000-0005-0000-0000-0000340A0000}"/>
    <cellStyle name="Comma 4 5 2 5 2" xfId="4205" xr:uid="{00000000-0005-0000-0000-0000350A0000}"/>
    <cellStyle name="Comma 4 5 2 5 2 2" xfId="8427" xr:uid="{00000000-0005-0000-0000-0000360A0000}"/>
    <cellStyle name="Comma 4 5 2 5 2 2 2" xfId="16874" xr:uid="{A69D1E5B-7D5B-472B-ADB3-8A0BCBE66F60}"/>
    <cellStyle name="Comma 4 5 2 5 2 3" xfId="12659" xr:uid="{48BD93CE-93F1-4199-A754-F64676E6E463}"/>
    <cellStyle name="Comma 4 5 2 5 3" xfId="6282" xr:uid="{00000000-0005-0000-0000-0000370A0000}"/>
    <cellStyle name="Comma 4 5 2 5 3 2" xfId="14729" xr:uid="{30C08ACB-B21B-4FDC-BCC8-1A215C3E5154}"/>
    <cellStyle name="Comma 4 5 2 5 4" xfId="10514" xr:uid="{BD520016-DC64-4CA3-AD13-3A60020EF081}"/>
    <cellStyle name="Comma 4 5 2 6" xfId="2411" xr:uid="{00000000-0005-0000-0000-0000380A0000}"/>
    <cellStyle name="Comma 4 5 2 6 2" xfId="6695" xr:uid="{00000000-0005-0000-0000-0000390A0000}"/>
    <cellStyle name="Comma 4 5 2 6 2 2" xfId="15142" xr:uid="{FDB979B3-1DF1-4BAC-B43E-5D8998D09949}"/>
    <cellStyle name="Comma 4 5 2 6 3" xfId="10927" xr:uid="{835416A0-1A56-44B6-8DAC-CE0266E55FD6}"/>
    <cellStyle name="Comma 4 5 2 7" xfId="2707" xr:uid="{00000000-0005-0000-0000-00003A0A0000}"/>
    <cellStyle name="Comma 4 5 2 8" xfId="2789" xr:uid="{00000000-0005-0000-0000-00003B0A0000}"/>
    <cellStyle name="Comma 4 5 2 8 2" xfId="7012" xr:uid="{00000000-0005-0000-0000-00003C0A0000}"/>
    <cellStyle name="Comma 4 5 2 8 2 2" xfId="15459" xr:uid="{B37C7C91-608C-4BB1-86CC-CB602DA80BCE}"/>
    <cellStyle name="Comma 4 5 2 8 3" xfId="11244" xr:uid="{676AEEBA-34BB-490D-B1EF-B741A25DD182}"/>
    <cellStyle name="Comma 4 5 2 9" xfId="4629" xr:uid="{00000000-0005-0000-0000-00003D0A0000}"/>
    <cellStyle name="Comma 4 5 2 9 2" xfId="13076" xr:uid="{7174FC51-6BF6-432A-9130-4D507EAD8911}"/>
    <cellStyle name="Comma 4 5 3" xfId="694" xr:uid="{00000000-0005-0000-0000-00003E0A0000}"/>
    <cellStyle name="Comma 4 5 3 2" xfId="2965" xr:uid="{00000000-0005-0000-0000-00003F0A0000}"/>
    <cellStyle name="Comma 4 5 3 2 2" xfId="7187" xr:uid="{00000000-0005-0000-0000-0000400A0000}"/>
    <cellStyle name="Comma 4 5 3 2 2 2" xfId="15634" xr:uid="{4CC36091-C870-4989-8F86-B4AF8EBAD71F}"/>
    <cellStyle name="Comma 4 5 3 2 3" xfId="11419" xr:uid="{0AFBFF9F-4194-4287-94D1-A3E9EB4499BA}"/>
    <cellStyle name="Comma 4 5 3 3" xfId="5042" xr:uid="{00000000-0005-0000-0000-0000410A0000}"/>
    <cellStyle name="Comma 4 5 3 3 2" xfId="13489" xr:uid="{F9DCC0CC-D127-4AA9-BD77-1198C2067067}"/>
    <cellStyle name="Comma 4 5 3 4" xfId="9274" xr:uid="{20FE68E2-2102-4F7A-84D2-C12269E7AAD4}"/>
    <cellStyle name="Comma 4 5 4" xfId="1147" xr:uid="{00000000-0005-0000-0000-0000420A0000}"/>
    <cellStyle name="Comma 4 5 4 2" xfId="3378" xr:uid="{00000000-0005-0000-0000-0000430A0000}"/>
    <cellStyle name="Comma 4 5 4 2 2" xfId="7600" xr:uid="{00000000-0005-0000-0000-0000440A0000}"/>
    <cellStyle name="Comma 4 5 4 2 2 2" xfId="16047" xr:uid="{1CE2B16C-DC25-4C45-AE45-4228F133D9AC}"/>
    <cellStyle name="Comma 4 5 4 2 3" xfId="11832" xr:uid="{63A21950-B17C-4F97-8514-98089F50F9D7}"/>
    <cellStyle name="Comma 4 5 4 3" xfId="5455" xr:uid="{00000000-0005-0000-0000-0000450A0000}"/>
    <cellStyle name="Comma 4 5 4 3 2" xfId="13902" xr:uid="{7A724A10-F4ED-40EF-BD19-1FFA964FC591}"/>
    <cellStyle name="Comma 4 5 4 4" xfId="9687" xr:uid="{0E61E86A-527D-4616-8299-1F193B103740}"/>
    <cellStyle name="Comma 4 5 5" xfId="1561" xr:uid="{00000000-0005-0000-0000-0000460A0000}"/>
    <cellStyle name="Comma 4 5 5 2" xfId="3791" xr:uid="{00000000-0005-0000-0000-0000470A0000}"/>
    <cellStyle name="Comma 4 5 5 2 2" xfId="8013" xr:uid="{00000000-0005-0000-0000-0000480A0000}"/>
    <cellStyle name="Comma 4 5 5 2 2 2" xfId="16460" xr:uid="{106C3F05-C4BC-4C79-B06F-2E6279F93733}"/>
    <cellStyle name="Comma 4 5 5 2 3" xfId="12245" xr:uid="{1365EB62-AC03-4D85-9D96-8AEB266200A1}"/>
    <cellStyle name="Comma 4 5 5 3" xfId="5868" xr:uid="{00000000-0005-0000-0000-0000490A0000}"/>
    <cellStyle name="Comma 4 5 5 3 2" xfId="14315" xr:uid="{65F5B361-47A6-4CF0-8D0A-A73490119120}"/>
    <cellStyle name="Comma 4 5 5 4" xfId="10100" xr:uid="{4409BA1E-E34E-4588-9ECE-6A111DA005EE}"/>
    <cellStyle name="Comma 4 5 6" xfId="1975" xr:uid="{00000000-0005-0000-0000-00004A0A0000}"/>
    <cellStyle name="Comma 4 5 6 2" xfId="4204" xr:uid="{00000000-0005-0000-0000-00004B0A0000}"/>
    <cellStyle name="Comma 4 5 6 2 2" xfId="8426" xr:uid="{00000000-0005-0000-0000-00004C0A0000}"/>
    <cellStyle name="Comma 4 5 6 2 2 2" xfId="16873" xr:uid="{141AAE1E-8223-476C-842B-BFE79A5F5C77}"/>
    <cellStyle name="Comma 4 5 6 2 3" xfId="12658" xr:uid="{721C20D1-F1C9-4074-A89C-16253C7BDA24}"/>
    <cellStyle name="Comma 4 5 6 3" xfId="6281" xr:uid="{00000000-0005-0000-0000-00004D0A0000}"/>
    <cellStyle name="Comma 4 5 6 3 2" xfId="14728" xr:uid="{7AB55B82-D7CA-4C28-AA60-795E0728CE2D}"/>
    <cellStyle name="Comma 4 5 6 4" xfId="10513" xr:uid="{027C522D-126D-440C-8B52-26AC1B66998F}"/>
    <cellStyle name="Comma 4 5 7" xfId="2410" xr:uid="{00000000-0005-0000-0000-00004E0A0000}"/>
    <cellStyle name="Comma 4 5 7 2" xfId="6694" xr:uid="{00000000-0005-0000-0000-00004F0A0000}"/>
    <cellStyle name="Comma 4 5 7 2 2" xfId="15141" xr:uid="{2F39F71F-9674-40AC-AEA3-BF180C8F7EA1}"/>
    <cellStyle name="Comma 4 5 7 3" xfId="10926" xr:uid="{6001A898-164F-4313-BE8A-64F6FDAA3406}"/>
    <cellStyle name="Comma 4 5 8" xfId="2706" xr:uid="{00000000-0005-0000-0000-0000500A0000}"/>
    <cellStyle name="Comma 4 5 9" xfId="2788" xr:uid="{00000000-0005-0000-0000-0000510A0000}"/>
    <cellStyle name="Comma 4 5 9 2" xfId="7011" xr:uid="{00000000-0005-0000-0000-0000520A0000}"/>
    <cellStyle name="Comma 4 5 9 2 2" xfId="15458" xr:uid="{6DC6FF14-6349-4A86-BA3A-E1E8C3609FFC}"/>
    <cellStyle name="Comma 4 5 9 3" xfId="11243" xr:uid="{67C5BE3A-FDF6-4A7A-8956-C15AAA920DC5}"/>
    <cellStyle name="Comma 4 6" xfId="159" xr:uid="{00000000-0005-0000-0000-0000530A0000}"/>
    <cellStyle name="Comma 4 6 10" xfId="8862" xr:uid="{A6A43EA6-C72F-47A4-8132-7D3028C2F626}"/>
    <cellStyle name="Comma 4 6 2" xfId="696" xr:uid="{00000000-0005-0000-0000-0000540A0000}"/>
    <cellStyle name="Comma 4 6 2 2" xfId="2967" xr:uid="{00000000-0005-0000-0000-0000550A0000}"/>
    <cellStyle name="Comma 4 6 2 2 2" xfId="7189" xr:uid="{00000000-0005-0000-0000-0000560A0000}"/>
    <cellStyle name="Comma 4 6 2 2 2 2" xfId="15636" xr:uid="{A72BBBCD-58BC-4660-9A8E-694A10ED9977}"/>
    <cellStyle name="Comma 4 6 2 2 3" xfId="11421" xr:uid="{A8BA8016-0458-4D2D-8C6A-D16F5391D747}"/>
    <cellStyle name="Comma 4 6 2 3" xfId="5044" xr:uid="{00000000-0005-0000-0000-0000570A0000}"/>
    <cellStyle name="Comma 4 6 2 3 2" xfId="13491" xr:uid="{958B0F96-2B0A-44A5-8DFD-93F925F6DF72}"/>
    <cellStyle name="Comma 4 6 2 4" xfId="9276" xr:uid="{775588D6-DC05-4C68-9FA5-4AB79AE0C3B6}"/>
    <cellStyle name="Comma 4 6 3" xfId="1149" xr:uid="{00000000-0005-0000-0000-0000580A0000}"/>
    <cellStyle name="Comma 4 6 3 2" xfId="3380" xr:uid="{00000000-0005-0000-0000-0000590A0000}"/>
    <cellStyle name="Comma 4 6 3 2 2" xfId="7602" xr:uid="{00000000-0005-0000-0000-00005A0A0000}"/>
    <cellStyle name="Comma 4 6 3 2 2 2" xfId="16049" xr:uid="{E7F8F58A-00DF-4669-9EA7-CBBD32CBCE8B}"/>
    <cellStyle name="Comma 4 6 3 2 3" xfId="11834" xr:uid="{EE4A35C4-D07C-4F3A-9A7B-79E1E952AEC0}"/>
    <cellStyle name="Comma 4 6 3 3" xfId="5457" xr:uid="{00000000-0005-0000-0000-00005B0A0000}"/>
    <cellStyle name="Comma 4 6 3 3 2" xfId="13904" xr:uid="{1D3E81DE-8157-493B-87A6-7D7FB99F7CC9}"/>
    <cellStyle name="Comma 4 6 3 4" xfId="9689" xr:uid="{0C6949D3-76A3-45AE-A21F-517CFDED47CD}"/>
    <cellStyle name="Comma 4 6 4" xfId="1563" xr:uid="{00000000-0005-0000-0000-00005C0A0000}"/>
    <cellStyle name="Comma 4 6 4 2" xfId="3793" xr:uid="{00000000-0005-0000-0000-00005D0A0000}"/>
    <cellStyle name="Comma 4 6 4 2 2" xfId="8015" xr:uid="{00000000-0005-0000-0000-00005E0A0000}"/>
    <cellStyle name="Comma 4 6 4 2 2 2" xfId="16462" xr:uid="{A0C7BE80-E9FA-42A4-B2C9-3AC65DB204D9}"/>
    <cellStyle name="Comma 4 6 4 2 3" xfId="12247" xr:uid="{FFB02079-09F8-4F2D-9147-34DAA2EC3DAF}"/>
    <cellStyle name="Comma 4 6 4 3" xfId="5870" xr:uid="{00000000-0005-0000-0000-00005F0A0000}"/>
    <cellStyle name="Comma 4 6 4 3 2" xfId="14317" xr:uid="{04D10B72-AA27-4E9F-92E5-328238E6A907}"/>
    <cellStyle name="Comma 4 6 4 4" xfId="10102" xr:uid="{449BDBDC-D698-45ED-B6A7-86EC1FE57BF4}"/>
    <cellStyle name="Comma 4 6 5" xfId="1977" xr:uid="{00000000-0005-0000-0000-0000600A0000}"/>
    <cellStyle name="Comma 4 6 5 2" xfId="4206" xr:uid="{00000000-0005-0000-0000-0000610A0000}"/>
    <cellStyle name="Comma 4 6 5 2 2" xfId="8428" xr:uid="{00000000-0005-0000-0000-0000620A0000}"/>
    <cellStyle name="Comma 4 6 5 2 2 2" xfId="16875" xr:uid="{466B73FB-0D42-43D4-AA0F-979EB27135C5}"/>
    <cellStyle name="Comma 4 6 5 2 3" xfId="12660" xr:uid="{CFF00C57-6869-406E-97D6-D7C3104EC85E}"/>
    <cellStyle name="Comma 4 6 5 3" xfId="6283" xr:uid="{00000000-0005-0000-0000-0000630A0000}"/>
    <cellStyle name="Comma 4 6 5 3 2" xfId="14730" xr:uid="{B95A1078-4171-42DF-9EEC-E45DB93FCC32}"/>
    <cellStyle name="Comma 4 6 5 4" xfId="10515" xr:uid="{32040596-6DAC-4EF1-8216-5DDF7D00398F}"/>
    <cellStyle name="Comma 4 6 6" xfId="2412" xr:uid="{00000000-0005-0000-0000-0000640A0000}"/>
    <cellStyle name="Comma 4 6 6 2" xfId="6696" xr:uid="{00000000-0005-0000-0000-0000650A0000}"/>
    <cellStyle name="Comma 4 6 6 2 2" xfId="15143" xr:uid="{8566EA37-E669-4BD2-AFB0-0A3D23E18288}"/>
    <cellStyle name="Comma 4 6 6 3" xfId="10928" xr:uid="{243F6F6F-8889-455A-BF2E-13FAD6BAADCA}"/>
    <cellStyle name="Comma 4 6 7" xfId="2708" xr:uid="{00000000-0005-0000-0000-0000660A0000}"/>
    <cellStyle name="Comma 4 6 8" xfId="2790" xr:uid="{00000000-0005-0000-0000-0000670A0000}"/>
    <cellStyle name="Comma 4 6 8 2" xfId="7013" xr:uid="{00000000-0005-0000-0000-0000680A0000}"/>
    <cellStyle name="Comma 4 6 8 2 2" xfId="15460" xr:uid="{1CA78EC1-61AE-4DE2-B166-5B3593AB8766}"/>
    <cellStyle name="Comma 4 6 8 3" xfId="11245" xr:uid="{C6B10A38-10DE-49D2-8F97-32BE256D53C7}"/>
    <cellStyle name="Comma 4 6 9" xfId="4630" xr:uid="{00000000-0005-0000-0000-0000690A0000}"/>
    <cellStyle name="Comma 4 6 9 2" xfId="13077" xr:uid="{45DE2EB7-DF54-4C21-9FF3-12C0E82790EE}"/>
    <cellStyle name="Comma 4 7" xfId="160" xr:uid="{00000000-0005-0000-0000-00006A0A0000}"/>
    <cellStyle name="Comma 4 7 10" xfId="8863" xr:uid="{8B31B290-1006-4C1B-9147-54CEF822EF47}"/>
    <cellStyle name="Comma 4 7 2" xfId="697" xr:uid="{00000000-0005-0000-0000-00006B0A0000}"/>
    <cellStyle name="Comma 4 7 2 2" xfId="2968" xr:uid="{00000000-0005-0000-0000-00006C0A0000}"/>
    <cellStyle name="Comma 4 7 2 2 2" xfId="7190" xr:uid="{00000000-0005-0000-0000-00006D0A0000}"/>
    <cellStyle name="Comma 4 7 2 2 2 2" xfId="15637" xr:uid="{4732356C-4C70-46A0-87EC-52D8F39800A2}"/>
    <cellStyle name="Comma 4 7 2 2 3" xfId="11422" xr:uid="{F3970269-52F8-4B00-A241-7D4A332FFFF5}"/>
    <cellStyle name="Comma 4 7 2 3" xfId="5045" xr:uid="{00000000-0005-0000-0000-00006E0A0000}"/>
    <cellStyle name="Comma 4 7 2 3 2" xfId="13492" xr:uid="{2C796FC4-9718-4BA6-B315-0ABC51F3D339}"/>
    <cellStyle name="Comma 4 7 2 4" xfId="9277" xr:uid="{14AC419E-C3F0-44A7-AF49-ADDF27928550}"/>
    <cellStyle name="Comma 4 7 3" xfId="1150" xr:uid="{00000000-0005-0000-0000-00006F0A0000}"/>
    <cellStyle name="Comma 4 7 3 2" xfId="3381" xr:uid="{00000000-0005-0000-0000-0000700A0000}"/>
    <cellStyle name="Comma 4 7 3 2 2" xfId="7603" xr:uid="{00000000-0005-0000-0000-0000710A0000}"/>
    <cellStyle name="Comma 4 7 3 2 2 2" xfId="16050" xr:uid="{28BE9EC3-BF0B-4506-944E-A3BA9B73B170}"/>
    <cellStyle name="Comma 4 7 3 2 3" xfId="11835" xr:uid="{34336C48-8F79-446C-BBBF-E24A6B660035}"/>
    <cellStyle name="Comma 4 7 3 3" xfId="5458" xr:uid="{00000000-0005-0000-0000-0000720A0000}"/>
    <cellStyle name="Comma 4 7 3 3 2" xfId="13905" xr:uid="{19737949-4D78-49B5-B1E1-85638EE25C64}"/>
    <cellStyle name="Comma 4 7 3 4" xfId="9690" xr:uid="{021029B8-8B21-4AD1-9664-6CA710950DA3}"/>
    <cellStyle name="Comma 4 7 4" xfId="1564" xr:uid="{00000000-0005-0000-0000-0000730A0000}"/>
    <cellStyle name="Comma 4 7 4 2" xfId="3794" xr:uid="{00000000-0005-0000-0000-0000740A0000}"/>
    <cellStyle name="Comma 4 7 4 2 2" xfId="8016" xr:uid="{00000000-0005-0000-0000-0000750A0000}"/>
    <cellStyle name="Comma 4 7 4 2 2 2" xfId="16463" xr:uid="{15A5ADE5-2C47-4137-9675-214EB765A568}"/>
    <cellStyle name="Comma 4 7 4 2 3" xfId="12248" xr:uid="{49058DC3-66BF-4C74-ACAE-19141BCFC74E}"/>
    <cellStyle name="Comma 4 7 4 3" xfId="5871" xr:uid="{00000000-0005-0000-0000-0000760A0000}"/>
    <cellStyle name="Comma 4 7 4 3 2" xfId="14318" xr:uid="{66BE3CE5-46A4-4114-A204-625C65A3C9E0}"/>
    <cellStyle name="Comma 4 7 4 4" xfId="10103" xr:uid="{51606484-CF3C-4574-A65B-B2D8C2DD84A9}"/>
    <cellStyle name="Comma 4 7 5" xfId="1978" xr:uid="{00000000-0005-0000-0000-0000770A0000}"/>
    <cellStyle name="Comma 4 7 5 2" xfId="4207" xr:uid="{00000000-0005-0000-0000-0000780A0000}"/>
    <cellStyle name="Comma 4 7 5 2 2" xfId="8429" xr:uid="{00000000-0005-0000-0000-0000790A0000}"/>
    <cellStyle name="Comma 4 7 5 2 2 2" xfId="16876" xr:uid="{0505F54B-57ED-4650-8973-E5E9235CEB06}"/>
    <cellStyle name="Comma 4 7 5 2 3" xfId="12661" xr:uid="{8142AE79-C0C1-4557-925A-CA0BBBCD44C5}"/>
    <cellStyle name="Comma 4 7 5 3" xfId="6284" xr:uid="{00000000-0005-0000-0000-00007A0A0000}"/>
    <cellStyle name="Comma 4 7 5 3 2" xfId="14731" xr:uid="{B2000E79-760F-4077-BC55-A6E7479B4D7D}"/>
    <cellStyle name="Comma 4 7 5 4" xfId="10516" xr:uid="{9DBD04FD-AA11-42A0-BE6F-E9DCB3331C8E}"/>
    <cellStyle name="Comma 4 7 6" xfId="2413" xr:uid="{00000000-0005-0000-0000-00007B0A0000}"/>
    <cellStyle name="Comma 4 7 6 2" xfId="6697" xr:uid="{00000000-0005-0000-0000-00007C0A0000}"/>
    <cellStyle name="Comma 4 7 6 2 2" xfId="15144" xr:uid="{8A1EDC48-BC78-4DEF-902C-8936DC578B97}"/>
    <cellStyle name="Comma 4 7 6 3" xfId="10929" xr:uid="{98B8278E-61CA-4DC2-962E-DE13D0850FAC}"/>
    <cellStyle name="Comma 4 7 7" xfId="2709" xr:uid="{00000000-0005-0000-0000-00007D0A0000}"/>
    <cellStyle name="Comma 4 7 8" xfId="2791" xr:uid="{00000000-0005-0000-0000-00007E0A0000}"/>
    <cellStyle name="Comma 4 7 8 2" xfId="7014" xr:uid="{00000000-0005-0000-0000-00007F0A0000}"/>
    <cellStyle name="Comma 4 7 8 2 2" xfId="15461" xr:uid="{ED66A30F-8540-4D12-833C-9B2A6C1E24B2}"/>
    <cellStyle name="Comma 4 7 8 3" xfId="11246" xr:uid="{CC063077-EF44-4A55-A56A-482C26D55BAB}"/>
    <cellStyle name="Comma 4 7 9" xfId="4631" xr:uid="{00000000-0005-0000-0000-0000800A0000}"/>
    <cellStyle name="Comma 4 7 9 2" xfId="13078" xr:uid="{DEAAE0ED-A55F-4309-9C4F-CBDFF2E484B1}"/>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04662ECF-5205-4247-B08E-14D4C186D895}"/>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3" xr:uid="{D7BAA4AC-9A2E-4949-8FD0-FADCFA534736}"/>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2" xr:uid="{0852E552-79A2-45BA-98A5-57476534B33A}"/>
    <cellStyle name="Currency 3 2 2 10 3" xfId="11247" xr:uid="{7784296A-A674-4706-9C44-FA5E47A103EA}"/>
    <cellStyle name="Currency 3 2 2 11" xfId="4632" xr:uid="{00000000-0005-0000-0000-0000A50A0000}"/>
    <cellStyle name="Currency 3 2 2 11 2" xfId="13079" xr:uid="{4361965F-C4DB-4A87-8838-44C512865B1E}"/>
    <cellStyle name="Currency 3 2 2 12" xfId="8864" xr:uid="{2D68E2F0-82AB-4F3D-89E6-C1E04BF7A113}"/>
    <cellStyle name="Currency 3 2 2 2" xfId="179" xr:uid="{00000000-0005-0000-0000-0000A60A0000}"/>
    <cellStyle name="Currency 3 2 2 2 10" xfId="4633" xr:uid="{00000000-0005-0000-0000-0000A70A0000}"/>
    <cellStyle name="Currency 3 2 2 2 10 2" xfId="13080" xr:uid="{9CF999B6-C4A0-4FF0-9AE4-703BBFB51D2B}"/>
    <cellStyle name="Currency 3 2 2 2 11" xfId="8865" xr:uid="{6CD2B7D2-AE2C-42C4-A3F4-1A7FFBA69BA0}"/>
    <cellStyle name="Currency 3 2 2 2 2" xfId="180" xr:uid="{00000000-0005-0000-0000-0000A80A0000}"/>
    <cellStyle name="Currency 3 2 2 2 2 10" xfId="8866" xr:uid="{4F89320F-7181-49EA-BE8E-D96F12A1E56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0" xr:uid="{E3EA1180-6A7C-46B4-9EA2-AEF9B6294CF5}"/>
    <cellStyle name="Currency 3 2 2 2 2 2 2 3" xfId="11425" xr:uid="{1D48148A-9FEC-4E55-935D-BA9D77F5DBFE}"/>
    <cellStyle name="Currency 3 2 2 2 2 2 3" xfId="5048" xr:uid="{00000000-0005-0000-0000-0000AC0A0000}"/>
    <cellStyle name="Currency 3 2 2 2 2 2 3 2" xfId="13495" xr:uid="{EDD502E2-03A8-4A26-A29E-4736707CBADA}"/>
    <cellStyle name="Currency 3 2 2 2 2 2 4" xfId="9280" xr:uid="{60DDE4EC-BE3A-4416-BF8E-36C3132EA8AE}"/>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3" xr:uid="{D5BF7E66-1FD1-4D65-B2AA-2C93FC3E2A5E}"/>
    <cellStyle name="Currency 3 2 2 2 2 3 2 3" xfId="11838" xr:uid="{2ACB5306-002D-44B9-889E-A77D0F54B2C5}"/>
    <cellStyle name="Currency 3 2 2 2 2 3 3" xfId="5461" xr:uid="{00000000-0005-0000-0000-0000B00A0000}"/>
    <cellStyle name="Currency 3 2 2 2 2 3 3 2" xfId="13908" xr:uid="{28A2C19B-57C5-4AB3-BC39-E35600EC6D44}"/>
    <cellStyle name="Currency 3 2 2 2 2 3 4" xfId="9693" xr:uid="{11714621-64E9-435B-94AA-FFA6120BA8F5}"/>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6" xr:uid="{4E3905A0-C850-489A-86C4-8CB12929169E}"/>
    <cellStyle name="Currency 3 2 2 2 2 4 2 3" xfId="12251" xr:uid="{EBAFFD2A-E7CC-445E-AD36-43125437CF40}"/>
    <cellStyle name="Currency 3 2 2 2 2 4 3" xfId="5874" xr:uid="{00000000-0005-0000-0000-0000B40A0000}"/>
    <cellStyle name="Currency 3 2 2 2 2 4 3 2" xfId="14321" xr:uid="{FE0BA7A3-E03D-4555-B45C-A0371F2E4C77}"/>
    <cellStyle name="Currency 3 2 2 2 2 4 4" xfId="10106" xr:uid="{F1E1FA96-0253-4C69-B837-44861FABC5BB}"/>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79" xr:uid="{A5CBC020-CD56-497C-9D86-1C700845DE18}"/>
    <cellStyle name="Currency 3 2 2 2 2 5 2 3" xfId="12664" xr:uid="{2D258DFB-7AB9-4846-8155-5166CB574EDA}"/>
    <cellStyle name="Currency 3 2 2 2 2 5 3" xfId="6287" xr:uid="{00000000-0005-0000-0000-0000B80A0000}"/>
    <cellStyle name="Currency 3 2 2 2 2 5 3 2" xfId="14734" xr:uid="{E8BDECAD-40D4-40E8-AFBA-FB8C0ADCED6D}"/>
    <cellStyle name="Currency 3 2 2 2 2 5 4" xfId="10519" xr:uid="{DE09C5F0-DFF3-42C6-B119-C62D4B189D9F}"/>
    <cellStyle name="Currency 3 2 2 2 2 6" xfId="2416" xr:uid="{00000000-0005-0000-0000-0000B90A0000}"/>
    <cellStyle name="Currency 3 2 2 2 2 6 2" xfId="6700" xr:uid="{00000000-0005-0000-0000-0000BA0A0000}"/>
    <cellStyle name="Currency 3 2 2 2 2 6 2 2" xfId="15147" xr:uid="{4BF54F46-4270-4BB5-94B1-303AFA87713C}"/>
    <cellStyle name="Currency 3 2 2 2 2 6 3" xfId="10932" xr:uid="{7E136202-2535-470B-BC51-BF7C6E8BFD95}"/>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4" xr:uid="{5239CECC-8618-4059-B91D-9014B7DE1E64}"/>
    <cellStyle name="Currency 3 2 2 2 2 8 3" xfId="11249" xr:uid="{D9349939-4142-4E32-82F4-C3CD3BC4AC52}"/>
    <cellStyle name="Currency 3 2 2 2 2 9" xfId="4634" xr:uid="{00000000-0005-0000-0000-0000BE0A0000}"/>
    <cellStyle name="Currency 3 2 2 2 2 9 2" xfId="13081" xr:uid="{FFA27493-C54E-4414-92F1-66B693D72ECA}"/>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39" xr:uid="{9C801A37-38B1-4D7C-B402-77F8BD2B3AC4}"/>
    <cellStyle name="Currency 3 2 2 2 3 2 3" xfId="11424" xr:uid="{A95EA312-71DA-4BA4-BCCF-44249B8FB0C8}"/>
    <cellStyle name="Currency 3 2 2 2 3 3" xfId="5047" xr:uid="{00000000-0005-0000-0000-0000C20A0000}"/>
    <cellStyle name="Currency 3 2 2 2 3 3 2" xfId="13494" xr:uid="{FA46E4F4-480B-4A9A-9CC8-839FB281D7B3}"/>
    <cellStyle name="Currency 3 2 2 2 3 4" xfId="9279" xr:uid="{81F68983-0167-436B-8A6D-5AB8E7F50804}"/>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2" xr:uid="{174F8180-8E80-4B6C-B3D2-BE28F41D8A82}"/>
    <cellStyle name="Currency 3 2 2 2 4 2 3" xfId="11837" xr:uid="{090AEECC-F29B-49FC-936A-C0A88FCF8FBC}"/>
    <cellStyle name="Currency 3 2 2 2 4 3" xfId="5460" xr:uid="{00000000-0005-0000-0000-0000C60A0000}"/>
    <cellStyle name="Currency 3 2 2 2 4 3 2" xfId="13907" xr:uid="{53F7D3CD-001F-461F-A34B-7E3B82A853A8}"/>
    <cellStyle name="Currency 3 2 2 2 4 4" xfId="9692" xr:uid="{42796D3D-476E-4CE6-B494-298CDF90295F}"/>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5" xr:uid="{8A543412-6AC1-428F-BB0A-D94143FC7FFE}"/>
    <cellStyle name="Currency 3 2 2 2 5 2 3" xfId="12250" xr:uid="{FAFC9F30-CAED-473F-86E8-D9F213C42419}"/>
    <cellStyle name="Currency 3 2 2 2 5 3" xfId="5873" xr:uid="{00000000-0005-0000-0000-0000CA0A0000}"/>
    <cellStyle name="Currency 3 2 2 2 5 3 2" xfId="14320" xr:uid="{0CB760ED-D96D-4D66-866D-F6DD60283E8F}"/>
    <cellStyle name="Currency 3 2 2 2 5 4" xfId="10105" xr:uid="{A170E736-994F-4745-A664-51A6C094AAAD}"/>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78" xr:uid="{C122E496-D4BF-4FC0-893B-427323A5B951}"/>
    <cellStyle name="Currency 3 2 2 2 6 2 3" xfId="12663" xr:uid="{34641896-E57B-4053-BCBC-A55DC808CBF5}"/>
    <cellStyle name="Currency 3 2 2 2 6 3" xfId="6286" xr:uid="{00000000-0005-0000-0000-0000CE0A0000}"/>
    <cellStyle name="Currency 3 2 2 2 6 3 2" xfId="14733" xr:uid="{AFE82E03-0AB7-46DA-98E5-36872F519FF2}"/>
    <cellStyle name="Currency 3 2 2 2 6 4" xfId="10518" xr:uid="{DB17EDCC-A84C-4BB5-9CF9-BC84B9D2F530}"/>
    <cellStyle name="Currency 3 2 2 2 7" xfId="2415" xr:uid="{00000000-0005-0000-0000-0000CF0A0000}"/>
    <cellStyle name="Currency 3 2 2 2 7 2" xfId="6699" xr:uid="{00000000-0005-0000-0000-0000D00A0000}"/>
    <cellStyle name="Currency 3 2 2 2 7 2 2" xfId="15146" xr:uid="{B99606E9-2788-4AF9-93CF-CCACA48ACDC2}"/>
    <cellStyle name="Currency 3 2 2 2 7 3" xfId="10931" xr:uid="{221F4295-FA7C-4627-AEEC-BEE1CAF8289D}"/>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3" xr:uid="{FCB4B304-A32C-4C63-9871-7001478CD5BE}"/>
    <cellStyle name="Currency 3 2 2 2 9 3" xfId="11248" xr:uid="{72880D80-FC55-4DF5-88F1-B91447769399}"/>
    <cellStyle name="Currency 3 2 2 3" xfId="181" xr:uid="{00000000-0005-0000-0000-0000D40A0000}"/>
    <cellStyle name="Currency 3 2 2 3 10" xfId="8867" xr:uid="{A56C3456-D6C1-4EA9-8DBA-21DF9728B914}"/>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1" xr:uid="{89ABD988-55F2-4C81-81DE-93A535D3D46F}"/>
    <cellStyle name="Currency 3 2 2 3 2 2 3" xfId="11426" xr:uid="{B06B13F5-99D0-41B7-8113-1CF1B8739C1F}"/>
    <cellStyle name="Currency 3 2 2 3 2 3" xfId="5049" xr:uid="{00000000-0005-0000-0000-0000D80A0000}"/>
    <cellStyle name="Currency 3 2 2 3 2 3 2" xfId="13496" xr:uid="{573AF65E-119A-4815-85B8-F0017ECF8D17}"/>
    <cellStyle name="Currency 3 2 2 3 2 4" xfId="9281" xr:uid="{E4A19400-7661-4B46-915D-09B172114E7B}"/>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4" xr:uid="{1C2D3FA6-D2AD-4E64-B744-5D582ACF0EF7}"/>
    <cellStyle name="Currency 3 2 2 3 3 2 3" xfId="11839" xr:uid="{84B58EDF-DA01-4438-B53D-A823291FBCF0}"/>
    <cellStyle name="Currency 3 2 2 3 3 3" xfId="5462" xr:uid="{00000000-0005-0000-0000-0000DC0A0000}"/>
    <cellStyle name="Currency 3 2 2 3 3 3 2" xfId="13909" xr:uid="{612DC275-CF16-4785-A3F9-B7CE817BA91D}"/>
    <cellStyle name="Currency 3 2 2 3 3 4" xfId="9694" xr:uid="{424FB508-5EDE-4205-B58C-EE71940EF34E}"/>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67" xr:uid="{9FAD58B7-881A-4872-AD28-E37DE3911519}"/>
    <cellStyle name="Currency 3 2 2 3 4 2 3" xfId="12252" xr:uid="{53F2C007-B330-482B-BED4-AD9BB56401BD}"/>
    <cellStyle name="Currency 3 2 2 3 4 3" xfId="5875" xr:uid="{00000000-0005-0000-0000-0000E00A0000}"/>
    <cellStyle name="Currency 3 2 2 3 4 3 2" xfId="14322" xr:uid="{C6FEB8B5-B5D6-46DA-AF0C-1E323CAD67EB}"/>
    <cellStyle name="Currency 3 2 2 3 4 4" xfId="10107" xr:uid="{3C9CE71E-BD82-48D1-9F2A-B69D28114E2E}"/>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0" xr:uid="{D8384C5F-EA3B-4DAC-9B1B-C8A7D820AAE9}"/>
    <cellStyle name="Currency 3 2 2 3 5 2 3" xfId="12665" xr:uid="{8B576C51-FD9A-432B-B299-70E6AE416829}"/>
    <cellStyle name="Currency 3 2 2 3 5 3" xfId="6288" xr:uid="{00000000-0005-0000-0000-0000E40A0000}"/>
    <cellStyle name="Currency 3 2 2 3 5 3 2" xfId="14735" xr:uid="{BCE2B434-9739-4078-A960-A3C16C864817}"/>
    <cellStyle name="Currency 3 2 2 3 5 4" xfId="10520" xr:uid="{52939B69-032D-4208-99E4-CD54A13BF1BD}"/>
    <cellStyle name="Currency 3 2 2 3 6" xfId="2417" xr:uid="{00000000-0005-0000-0000-0000E50A0000}"/>
    <cellStyle name="Currency 3 2 2 3 6 2" xfId="6701" xr:uid="{00000000-0005-0000-0000-0000E60A0000}"/>
    <cellStyle name="Currency 3 2 2 3 6 2 2" xfId="15148" xr:uid="{1C079A78-E24E-42AD-ACA3-B9FAC3ECA4C4}"/>
    <cellStyle name="Currency 3 2 2 3 6 3" xfId="10933" xr:uid="{4F4EF55B-61CD-452B-ABA4-A90675C68CBD}"/>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5" xr:uid="{67204FC5-CFAE-419C-BAB0-C4CD953583FD}"/>
    <cellStyle name="Currency 3 2 2 3 8 3" xfId="11250" xr:uid="{DBED34A2-4E9F-4817-8238-067E8B94ACEE}"/>
    <cellStyle name="Currency 3 2 2 3 9" xfId="4635" xr:uid="{00000000-0005-0000-0000-0000EA0A0000}"/>
    <cellStyle name="Currency 3 2 2 3 9 2" xfId="13082" xr:uid="{BDD33CCA-E757-44AA-8380-A53C0270BCB4}"/>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38" xr:uid="{3A7E75FA-AC14-4E97-899E-620623F4D819}"/>
    <cellStyle name="Currency 3 2 2 4 2 3" xfId="11423" xr:uid="{7BE4C030-08F9-46FF-A7B5-5F6AF7DD720B}"/>
    <cellStyle name="Currency 3 2 2 4 3" xfId="5046" xr:uid="{00000000-0005-0000-0000-0000EE0A0000}"/>
    <cellStyle name="Currency 3 2 2 4 3 2" xfId="13493" xr:uid="{16FD9ED9-35D1-4BF2-A32F-C3F605FE2877}"/>
    <cellStyle name="Currency 3 2 2 4 4" xfId="9278" xr:uid="{A7F9C230-8816-4B8F-80F0-E3DBA2B96A57}"/>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1" xr:uid="{254E7E2F-7F07-4F10-A94B-C3DE0BBDE8FC}"/>
    <cellStyle name="Currency 3 2 2 5 2 3" xfId="11836" xr:uid="{BF806B9B-916B-46BC-9C44-36BC6479589A}"/>
    <cellStyle name="Currency 3 2 2 5 3" xfId="5459" xr:uid="{00000000-0005-0000-0000-0000F20A0000}"/>
    <cellStyle name="Currency 3 2 2 5 3 2" xfId="13906" xr:uid="{4E20F59F-C1C4-4B5E-A827-E0045F0C9E31}"/>
    <cellStyle name="Currency 3 2 2 5 4" xfId="9691" xr:uid="{142ACFDC-B5AC-47BC-96C2-A6EA4FB8FCD4}"/>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4" xr:uid="{DCD85BF1-4000-4C8A-A235-211701860C48}"/>
    <cellStyle name="Currency 3 2 2 6 2 3" xfId="12249" xr:uid="{D2464BA9-EB07-47A3-960F-B1F90B97D948}"/>
    <cellStyle name="Currency 3 2 2 6 3" xfId="5872" xr:uid="{00000000-0005-0000-0000-0000F60A0000}"/>
    <cellStyle name="Currency 3 2 2 6 3 2" xfId="14319" xr:uid="{9DED9FC0-7B4D-4837-825A-532F63F81CC8}"/>
    <cellStyle name="Currency 3 2 2 6 4" xfId="10104" xr:uid="{EBB630E0-AA33-430D-A7FC-2EF47C0003F1}"/>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77" xr:uid="{7B7CA2A2-968E-4AFA-AA3F-A44C7B7DE0B6}"/>
    <cellStyle name="Currency 3 2 2 7 2 3" xfId="12662" xr:uid="{F6B35BBD-07B0-4653-BCD1-335C5F189CDD}"/>
    <cellStyle name="Currency 3 2 2 7 3" xfId="6285" xr:uid="{00000000-0005-0000-0000-0000FA0A0000}"/>
    <cellStyle name="Currency 3 2 2 7 3 2" xfId="14732" xr:uid="{6E9AFFAE-3EE4-49EB-A3B8-11BD837F4C18}"/>
    <cellStyle name="Currency 3 2 2 7 4" xfId="10517" xr:uid="{D1397270-3951-441E-B248-4A920321C37A}"/>
    <cellStyle name="Currency 3 2 2 8" xfId="2414" xr:uid="{00000000-0005-0000-0000-0000FB0A0000}"/>
    <cellStyle name="Currency 3 2 2 8 2" xfId="6698" xr:uid="{00000000-0005-0000-0000-0000FC0A0000}"/>
    <cellStyle name="Currency 3 2 2 8 2 2" xfId="15145" xr:uid="{265D9517-277E-4A79-9DFC-A0140F8772E8}"/>
    <cellStyle name="Currency 3 2 2 8 3" xfId="10930" xr:uid="{393D8301-1B6F-41B6-A9BB-AE5B88DC0887}"/>
    <cellStyle name="Currency 3 2 2 9" xfId="2711" xr:uid="{00000000-0005-0000-0000-0000FD0A0000}"/>
    <cellStyle name="Currency 3 2 3" xfId="182" xr:uid="{00000000-0005-0000-0000-0000FE0A0000}"/>
    <cellStyle name="Currency 3 2 3 10" xfId="4636" xr:uid="{00000000-0005-0000-0000-0000FF0A0000}"/>
    <cellStyle name="Currency 3 2 3 10 2" xfId="13083" xr:uid="{D565D72C-7259-4915-B907-E2905C292D86}"/>
    <cellStyle name="Currency 3 2 3 11" xfId="8868" xr:uid="{53991AA9-5613-490D-B5FE-8A315CA4FAF1}"/>
    <cellStyle name="Currency 3 2 3 2" xfId="183" xr:uid="{00000000-0005-0000-0000-0000000B0000}"/>
    <cellStyle name="Currency 3 2 3 2 10" xfId="8869" xr:uid="{10759C29-2F98-4D7F-A4C3-CC0EFEFDAC32}"/>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3" xr:uid="{E09FAE49-292A-4C8F-911B-357643D62374}"/>
    <cellStyle name="Currency 3 2 3 2 2 2 3" xfId="11428" xr:uid="{28B8D4CC-42BA-464E-AE11-AC1572610FFA}"/>
    <cellStyle name="Currency 3 2 3 2 2 3" xfId="5051" xr:uid="{00000000-0005-0000-0000-0000040B0000}"/>
    <cellStyle name="Currency 3 2 3 2 2 3 2" xfId="13498" xr:uid="{AF84D30A-AF69-43DC-94C0-19173BDE7CE1}"/>
    <cellStyle name="Currency 3 2 3 2 2 4" xfId="9283" xr:uid="{792FC8C3-1DEA-4081-BBC5-F9F9F6A1E77A}"/>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6" xr:uid="{C2BE030D-B7B7-453D-9FDF-0E67BF442BDC}"/>
    <cellStyle name="Currency 3 2 3 2 3 2 3" xfId="11841" xr:uid="{5EC5AE4F-1AC8-497B-B1C7-51606CEF35AC}"/>
    <cellStyle name="Currency 3 2 3 2 3 3" xfId="5464" xr:uid="{00000000-0005-0000-0000-0000080B0000}"/>
    <cellStyle name="Currency 3 2 3 2 3 3 2" xfId="13911" xr:uid="{983E2F8B-8912-414C-8DE8-10C282ED5A26}"/>
    <cellStyle name="Currency 3 2 3 2 3 4" xfId="9696" xr:uid="{9DFA9939-2E51-47B4-BAD7-E7B551F57F76}"/>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69" xr:uid="{3EAD1D9B-198F-40DC-B466-7AAB5327ADE0}"/>
    <cellStyle name="Currency 3 2 3 2 4 2 3" xfId="12254" xr:uid="{8EBF6447-94C2-429A-98E9-57B0EC0E6D6B}"/>
    <cellStyle name="Currency 3 2 3 2 4 3" xfId="5877" xr:uid="{00000000-0005-0000-0000-00000C0B0000}"/>
    <cellStyle name="Currency 3 2 3 2 4 3 2" xfId="14324" xr:uid="{3447C9F0-736D-4EE6-A1F5-2FA9BADE5AB2}"/>
    <cellStyle name="Currency 3 2 3 2 4 4" xfId="10109" xr:uid="{DB127C2B-7F67-4B2B-8D99-3824AE471327}"/>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2" xr:uid="{154EB5C2-342D-4FB5-AE43-688D60B4CD12}"/>
    <cellStyle name="Currency 3 2 3 2 5 2 3" xfId="12667" xr:uid="{86F00F5E-FFFD-4E17-B280-98CA88D780F6}"/>
    <cellStyle name="Currency 3 2 3 2 5 3" xfId="6290" xr:uid="{00000000-0005-0000-0000-0000100B0000}"/>
    <cellStyle name="Currency 3 2 3 2 5 3 2" xfId="14737" xr:uid="{C730B619-FD73-4509-95A7-C3251CFEF71F}"/>
    <cellStyle name="Currency 3 2 3 2 5 4" xfId="10522" xr:uid="{5D374BD8-B1FC-478A-AB63-33DE0A5AAF25}"/>
    <cellStyle name="Currency 3 2 3 2 6" xfId="2419" xr:uid="{00000000-0005-0000-0000-0000110B0000}"/>
    <cellStyle name="Currency 3 2 3 2 6 2" xfId="6703" xr:uid="{00000000-0005-0000-0000-0000120B0000}"/>
    <cellStyle name="Currency 3 2 3 2 6 2 2" xfId="15150" xr:uid="{384D69AB-B221-446C-8F67-04F1D30B6578}"/>
    <cellStyle name="Currency 3 2 3 2 6 3" xfId="10935" xr:uid="{C1DA9615-B359-4187-B920-7C5CE8D3CD00}"/>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67" xr:uid="{FE20E826-F226-479B-8812-BF31AB7C708D}"/>
    <cellStyle name="Currency 3 2 3 2 8 3" xfId="11252" xr:uid="{DF9E7FD3-5B4D-479D-BF6B-8D1874BE2335}"/>
    <cellStyle name="Currency 3 2 3 2 9" xfId="4637" xr:uid="{00000000-0005-0000-0000-0000160B0000}"/>
    <cellStyle name="Currency 3 2 3 2 9 2" xfId="13084" xr:uid="{D85D3A3E-70CE-4C3D-88A8-08A56EF7D839}"/>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2" xr:uid="{6311D8A6-D8CA-4A83-BAC8-B7AB5B9DDDFC}"/>
    <cellStyle name="Currency 3 2 3 3 2 3" xfId="11427" xr:uid="{C3D863AB-879D-43D1-A77B-EC35E735DAA2}"/>
    <cellStyle name="Currency 3 2 3 3 3" xfId="5050" xr:uid="{00000000-0005-0000-0000-00001A0B0000}"/>
    <cellStyle name="Currency 3 2 3 3 3 2" xfId="13497" xr:uid="{3D60053A-EB45-47E2-89A1-AD0AFB0187C7}"/>
    <cellStyle name="Currency 3 2 3 3 4" xfId="9282" xr:uid="{D3739228-D1D5-48CC-A36E-2C1795D5E9BB}"/>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5" xr:uid="{828F68C8-AB65-4432-B73E-D0E7F0A6BC92}"/>
    <cellStyle name="Currency 3 2 3 4 2 3" xfId="11840" xr:uid="{D766051D-7B9D-41FD-A0ED-8E6F5E50AC9B}"/>
    <cellStyle name="Currency 3 2 3 4 3" xfId="5463" xr:uid="{00000000-0005-0000-0000-00001E0B0000}"/>
    <cellStyle name="Currency 3 2 3 4 3 2" xfId="13910" xr:uid="{C730B94C-2BF4-4974-9996-9BABB9488D70}"/>
    <cellStyle name="Currency 3 2 3 4 4" xfId="9695" xr:uid="{60C8EEA4-3CDE-40F3-87F5-D58B38A2B858}"/>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68" xr:uid="{B54E848F-7F56-421B-BB28-4FDC7C79B59E}"/>
    <cellStyle name="Currency 3 2 3 5 2 3" xfId="12253" xr:uid="{764945AE-D33C-4BDE-90FB-586B0AEDFFD5}"/>
    <cellStyle name="Currency 3 2 3 5 3" xfId="5876" xr:uid="{00000000-0005-0000-0000-0000220B0000}"/>
    <cellStyle name="Currency 3 2 3 5 3 2" xfId="14323" xr:uid="{2A9E44B5-4DCC-45C2-A451-9F16A3164034}"/>
    <cellStyle name="Currency 3 2 3 5 4" xfId="10108" xr:uid="{CA531EEA-DD6E-4117-8D40-71414AB8175E}"/>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1" xr:uid="{6123B9F5-9713-4A9A-926B-C7E122318D23}"/>
    <cellStyle name="Currency 3 2 3 6 2 3" xfId="12666" xr:uid="{D8B21E14-E8AB-4CF9-AA1C-F19877CA58C0}"/>
    <cellStyle name="Currency 3 2 3 6 3" xfId="6289" xr:uid="{00000000-0005-0000-0000-0000260B0000}"/>
    <cellStyle name="Currency 3 2 3 6 3 2" xfId="14736" xr:uid="{F9BB9644-02B6-4342-99DF-1F5B98C705DB}"/>
    <cellStyle name="Currency 3 2 3 6 4" xfId="10521" xr:uid="{95902526-CDEB-4F06-BD1A-E074874431D8}"/>
    <cellStyle name="Currency 3 2 3 7" xfId="2418" xr:uid="{00000000-0005-0000-0000-0000270B0000}"/>
    <cellStyle name="Currency 3 2 3 7 2" xfId="6702" xr:uid="{00000000-0005-0000-0000-0000280B0000}"/>
    <cellStyle name="Currency 3 2 3 7 2 2" xfId="15149" xr:uid="{297D3DC8-2FE3-41BE-A08A-CAEE64CF5B6B}"/>
    <cellStyle name="Currency 3 2 3 7 3" xfId="10934" xr:uid="{8297A2F1-1879-4E82-BBED-63D90F567559}"/>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6" xr:uid="{7E91F3B0-FB0E-413B-8F39-E03FDF9ED0A2}"/>
    <cellStyle name="Currency 3 2 3 9 3" xfId="11251" xr:uid="{260C1DF7-0B8B-4BA7-B0D8-A21DF001FD40}"/>
    <cellStyle name="Currency 3 2 4" xfId="184" xr:uid="{00000000-0005-0000-0000-00002C0B0000}"/>
    <cellStyle name="Currency 3 2 4 10" xfId="8870" xr:uid="{557AB4FE-7B26-4DBB-BD0D-D6BF4619E4C6}"/>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4" xr:uid="{DF6AB0A2-3CE4-4856-9624-4022FB7C0DF7}"/>
    <cellStyle name="Currency 3 2 4 2 2 3" xfId="11429" xr:uid="{FA46A695-186D-472F-9724-50DFA153BFAA}"/>
    <cellStyle name="Currency 3 2 4 2 3" xfId="5052" xr:uid="{00000000-0005-0000-0000-0000300B0000}"/>
    <cellStyle name="Currency 3 2 4 2 3 2" xfId="13499" xr:uid="{C0B0F8F7-66AA-4298-8A66-35EED8074EC7}"/>
    <cellStyle name="Currency 3 2 4 2 4" xfId="9284" xr:uid="{C34ACDBE-50A3-486A-9D83-80FDC5D62165}"/>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57" xr:uid="{3658B3F2-FE31-4F61-9F8A-9A8090D4673D}"/>
    <cellStyle name="Currency 3 2 4 3 2 3" xfId="11842" xr:uid="{AC95E221-037C-4FC9-8770-70E7E4A9A691}"/>
    <cellStyle name="Currency 3 2 4 3 3" xfId="5465" xr:uid="{00000000-0005-0000-0000-0000340B0000}"/>
    <cellStyle name="Currency 3 2 4 3 3 2" xfId="13912" xr:uid="{65F3D47F-5CCA-48E1-A794-C7F275B5DA36}"/>
    <cellStyle name="Currency 3 2 4 3 4" xfId="9697" xr:uid="{FEAAF5BE-3B54-422E-90B0-C6605FA957C5}"/>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0" xr:uid="{FB9B95B0-1CF2-48B7-AB53-A51F3936789F}"/>
    <cellStyle name="Currency 3 2 4 4 2 3" xfId="12255" xr:uid="{49CEF5B5-1090-40D4-85BE-F64237585D7F}"/>
    <cellStyle name="Currency 3 2 4 4 3" xfId="5878" xr:uid="{00000000-0005-0000-0000-0000380B0000}"/>
    <cellStyle name="Currency 3 2 4 4 3 2" xfId="14325" xr:uid="{852D10CD-554E-4703-BA2C-268C43C6B9D2}"/>
    <cellStyle name="Currency 3 2 4 4 4" xfId="10110" xr:uid="{3F5F738B-F62E-4B79-AADD-D2325C75DA50}"/>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3" xr:uid="{6379C409-F701-4078-9DC5-9A875AFD68ED}"/>
    <cellStyle name="Currency 3 2 4 5 2 3" xfId="12668" xr:uid="{7C6F1567-8676-4240-831A-969BE3CD793A}"/>
    <cellStyle name="Currency 3 2 4 5 3" xfId="6291" xr:uid="{00000000-0005-0000-0000-00003C0B0000}"/>
    <cellStyle name="Currency 3 2 4 5 3 2" xfId="14738" xr:uid="{D22F76C4-C8F8-4266-BEB8-98BDBE010F68}"/>
    <cellStyle name="Currency 3 2 4 5 4" xfId="10523" xr:uid="{5AED28DF-1A30-429C-864F-F6F60CE640DD}"/>
    <cellStyle name="Currency 3 2 4 6" xfId="2420" xr:uid="{00000000-0005-0000-0000-00003D0B0000}"/>
    <cellStyle name="Currency 3 2 4 6 2" xfId="6704" xr:uid="{00000000-0005-0000-0000-00003E0B0000}"/>
    <cellStyle name="Currency 3 2 4 6 2 2" xfId="15151" xr:uid="{79D6FEF0-D722-493F-B441-E44D187E491C}"/>
    <cellStyle name="Currency 3 2 4 6 3" xfId="10936" xr:uid="{8518391F-4C0A-4E22-86C4-517B155B3DCA}"/>
    <cellStyle name="Currency 3 2 4 7" xfId="2717" xr:uid="{00000000-0005-0000-0000-00003F0B0000}"/>
    <cellStyle name="Currency 3 2 4 8" xfId="2798" xr:uid="{00000000-0005-0000-0000-0000400B0000}"/>
    <cellStyle name="Currency 3 2 4 8 2" xfId="7021" xr:uid="{00000000-0005-0000-0000-0000410B0000}"/>
    <cellStyle name="Currency 3 2 4 8 2 2" xfId="15468" xr:uid="{FB2100C9-B4AB-4530-AD26-C3A4A8A6C57E}"/>
    <cellStyle name="Currency 3 2 4 8 3" xfId="11253" xr:uid="{B27C960A-D6CC-46C2-8DFE-5C3D0F0F1A94}"/>
    <cellStyle name="Currency 3 2 4 9" xfId="4638" xr:uid="{00000000-0005-0000-0000-0000420B0000}"/>
    <cellStyle name="Currency 3 2 4 9 2" xfId="13085" xr:uid="{29F1ABF6-CB17-455B-93B9-89D31CB4DF14}"/>
    <cellStyle name="Currency 3 2 5" xfId="185" xr:uid="{00000000-0005-0000-0000-0000430B0000}"/>
    <cellStyle name="Currency 3 2 5 10" xfId="8871" xr:uid="{E8D3B4B7-850F-45F6-AC0F-AD0779FA9E8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5" xr:uid="{C872F421-8D22-43AB-9D8C-A3B3BBECD553}"/>
    <cellStyle name="Currency 3 2 5 2 2 3" xfId="11430" xr:uid="{42F50FF4-9AE4-4C1D-BA01-B8396B8295E4}"/>
    <cellStyle name="Currency 3 2 5 2 3" xfId="5053" xr:uid="{00000000-0005-0000-0000-0000470B0000}"/>
    <cellStyle name="Currency 3 2 5 2 3 2" xfId="13500" xr:uid="{83D8846E-5E54-45CD-8C02-45848B923D54}"/>
    <cellStyle name="Currency 3 2 5 2 4" xfId="9285" xr:uid="{62114E8F-ABFB-4E1A-AF65-B528EA256571}"/>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58" xr:uid="{E1A386DF-0A7B-4AEA-84ED-F2823490CE73}"/>
    <cellStyle name="Currency 3 2 5 3 2 3" xfId="11843" xr:uid="{226017CC-57A1-4A4C-BBC2-0AD8F2FE3636}"/>
    <cellStyle name="Currency 3 2 5 3 3" xfId="5466" xr:uid="{00000000-0005-0000-0000-00004B0B0000}"/>
    <cellStyle name="Currency 3 2 5 3 3 2" xfId="13913" xr:uid="{71A2B5F0-D9A0-4F8C-A920-F53183CA4C13}"/>
    <cellStyle name="Currency 3 2 5 3 4" xfId="9698" xr:uid="{030AC95B-608E-4988-8D90-7535D1182C5E}"/>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1" xr:uid="{40538E78-BA26-422F-9CC9-33D48BD6EFE9}"/>
    <cellStyle name="Currency 3 2 5 4 2 3" xfId="12256" xr:uid="{34018812-12B0-4114-A27B-3149E0DC4DE0}"/>
    <cellStyle name="Currency 3 2 5 4 3" xfId="5879" xr:uid="{00000000-0005-0000-0000-00004F0B0000}"/>
    <cellStyle name="Currency 3 2 5 4 3 2" xfId="14326" xr:uid="{1CB8EF75-FE34-44DE-8DDF-FAECCFB1AABB}"/>
    <cellStyle name="Currency 3 2 5 4 4" xfId="10111" xr:uid="{D0CE91CA-D039-4711-81CF-367750541062}"/>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4" xr:uid="{EA15B9A3-9A59-482A-B99E-8707722D29B1}"/>
    <cellStyle name="Currency 3 2 5 5 2 3" xfId="12669" xr:uid="{1C5496FB-4186-487B-BB3F-C92F52994F44}"/>
    <cellStyle name="Currency 3 2 5 5 3" xfId="6292" xr:uid="{00000000-0005-0000-0000-0000530B0000}"/>
    <cellStyle name="Currency 3 2 5 5 3 2" xfId="14739" xr:uid="{3D208057-3C58-451D-A9F2-A1E340B6DD2A}"/>
    <cellStyle name="Currency 3 2 5 5 4" xfId="10524" xr:uid="{297C1E60-8F58-4F36-A83D-4D715DEFABF4}"/>
    <cellStyle name="Currency 3 2 5 6" xfId="2421" xr:uid="{00000000-0005-0000-0000-0000540B0000}"/>
    <cellStyle name="Currency 3 2 5 6 2" xfId="6705" xr:uid="{00000000-0005-0000-0000-0000550B0000}"/>
    <cellStyle name="Currency 3 2 5 6 2 2" xfId="15152" xr:uid="{DFBA7CC8-878B-4B4A-BA9E-9C2416FEC1A9}"/>
    <cellStyle name="Currency 3 2 5 6 3" xfId="10937" xr:uid="{50B03ED9-B3C2-49C4-9468-2FB2DAE7F56B}"/>
    <cellStyle name="Currency 3 2 5 7" xfId="2718" xr:uid="{00000000-0005-0000-0000-0000560B0000}"/>
    <cellStyle name="Currency 3 2 5 8" xfId="2799" xr:uid="{00000000-0005-0000-0000-0000570B0000}"/>
    <cellStyle name="Currency 3 2 5 8 2" xfId="7022" xr:uid="{00000000-0005-0000-0000-0000580B0000}"/>
    <cellStyle name="Currency 3 2 5 8 2 2" xfId="15469" xr:uid="{17789AE7-C099-4D7B-9C48-62CF8CC8BFF2}"/>
    <cellStyle name="Currency 3 2 5 8 3" xfId="11254" xr:uid="{4A583040-A249-44DA-8B27-5C251D50EAA7}"/>
    <cellStyle name="Currency 3 2 5 9" xfId="4639" xr:uid="{00000000-0005-0000-0000-0000590B0000}"/>
    <cellStyle name="Currency 3 2 5 9 2" xfId="13086" xr:uid="{81E0E72F-012B-4ECF-AF4C-909C67FABD19}"/>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0" xr:uid="{E0931329-3E45-4ACF-ABA1-0E12A9884680}"/>
    <cellStyle name="Currency 5 2 2 2 10 3" xfId="11255" xr:uid="{1F68446E-8268-4E30-BA72-4724B10B27FC}"/>
    <cellStyle name="Currency 5 2 2 2 11" xfId="4640" xr:uid="{00000000-0005-0000-0000-00006C0B0000}"/>
    <cellStyle name="Currency 5 2 2 2 11 2" xfId="13087" xr:uid="{A561628F-A5A5-4F60-8C4F-30B8B9585C3D}"/>
    <cellStyle name="Currency 5 2 2 2 12" xfId="8872" xr:uid="{0214EDF6-1F32-4ABE-8EBF-0BE3C291D51B}"/>
    <cellStyle name="Currency 5 2 2 2 2" xfId="197" xr:uid="{00000000-0005-0000-0000-00006D0B0000}"/>
    <cellStyle name="Currency 5 2 2 2 2 10" xfId="4641" xr:uid="{00000000-0005-0000-0000-00006E0B0000}"/>
    <cellStyle name="Currency 5 2 2 2 2 10 2" xfId="13088" xr:uid="{6C3C1C2A-2853-4104-AB63-058E4C161190}"/>
    <cellStyle name="Currency 5 2 2 2 2 11" xfId="8873" xr:uid="{A116CABF-7FFF-492D-BB7E-759D9DBB8778}"/>
    <cellStyle name="Currency 5 2 2 2 2 2" xfId="198" xr:uid="{00000000-0005-0000-0000-00006F0B0000}"/>
    <cellStyle name="Currency 5 2 2 2 2 2 10" xfId="8874" xr:uid="{79C7AC66-5461-4C4B-B085-6E1E2AD45EA7}"/>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48" xr:uid="{4E530F28-AAC4-4B24-A8CD-1EBAB0184F8A}"/>
    <cellStyle name="Currency 5 2 2 2 2 2 2 2 3" xfId="11433" xr:uid="{5212F7D2-D12F-4941-A9C3-1DA20BADEBBB}"/>
    <cellStyle name="Currency 5 2 2 2 2 2 2 3" xfId="5056" xr:uid="{00000000-0005-0000-0000-0000730B0000}"/>
    <cellStyle name="Currency 5 2 2 2 2 2 2 3 2" xfId="13503" xr:uid="{2F1E2250-8A9C-4398-8EF8-B004780B1EE4}"/>
    <cellStyle name="Currency 5 2 2 2 2 2 2 4" xfId="9288" xr:uid="{8C6E624B-211C-46E1-A070-4ECDCF14D0A6}"/>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1" xr:uid="{2174CD2F-3F35-49A9-AED8-7B9AE4801BF4}"/>
    <cellStyle name="Currency 5 2 2 2 2 2 3 2 3" xfId="11846" xr:uid="{65FA788C-E871-4C66-A571-1C261646288A}"/>
    <cellStyle name="Currency 5 2 2 2 2 2 3 3" xfId="5469" xr:uid="{00000000-0005-0000-0000-0000770B0000}"/>
    <cellStyle name="Currency 5 2 2 2 2 2 3 3 2" xfId="13916" xr:uid="{F1017F48-FFB8-4AC3-9D3E-2476428D9855}"/>
    <cellStyle name="Currency 5 2 2 2 2 2 3 4" xfId="9701" xr:uid="{B161DD64-DEDA-45E9-9D1B-74DE1EBDA50D}"/>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4" xr:uid="{3AC812C7-B925-4AC2-9EDC-91EACADE3658}"/>
    <cellStyle name="Currency 5 2 2 2 2 2 4 2 3" xfId="12259" xr:uid="{F38FCB58-9E61-4621-927F-CECDF0BE446A}"/>
    <cellStyle name="Currency 5 2 2 2 2 2 4 3" xfId="5882" xr:uid="{00000000-0005-0000-0000-00007B0B0000}"/>
    <cellStyle name="Currency 5 2 2 2 2 2 4 3 2" xfId="14329" xr:uid="{2B5C38CC-5847-44A9-9D23-4F659FA0B995}"/>
    <cellStyle name="Currency 5 2 2 2 2 2 4 4" xfId="10114" xr:uid="{20EFD760-E80D-4C2D-BCA8-8866E258FF79}"/>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87" xr:uid="{1DCBD54C-0E39-4032-9BC5-CB718E776C3E}"/>
    <cellStyle name="Currency 5 2 2 2 2 2 5 2 3" xfId="12672" xr:uid="{BFCF96A8-20D3-44FF-A607-C8AB565FBBB9}"/>
    <cellStyle name="Currency 5 2 2 2 2 2 5 3" xfId="6295" xr:uid="{00000000-0005-0000-0000-00007F0B0000}"/>
    <cellStyle name="Currency 5 2 2 2 2 2 5 3 2" xfId="14742" xr:uid="{E8FC0E08-C326-4DD9-80C4-4C60105A857F}"/>
    <cellStyle name="Currency 5 2 2 2 2 2 5 4" xfId="10527" xr:uid="{D4F5E337-8038-4D4D-A14D-330BDBAB1024}"/>
    <cellStyle name="Currency 5 2 2 2 2 2 6" xfId="2424" xr:uid="{00000000-0005-0000-0000-0000800B0000}"/>
    <cellStyle name="Currency 5 2 2 2 2 2 6 2" xfId="6708" xr:uid="{00000000-0005-0000-0000-0000810B0000}"/>
    <cellStyle name="Currency 5 2 2 2 2 2 6 2 2" xfId="15155" xr:uid="{B63FFE85-7B3C-45FE-A3D0-739ED42B2B47}"/>
    <cellStyle name="Currency 5 2 2 2 2 2 6 3" xfId="10940" xr:uid="{9312449E-A99C-4B47-BEFB-4AA2E945FDA8}"/>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2" xr:uid="{27807A82-8EBD-486B-81C6-29C75BD52493}"/>
    <cellStyle name="Currency 5 2 2 2 2 2 8 3" xfId="11257" xr:uid="{58DA0D4A-D9B3-425C-B993-91EE6C8AB337}"/>
    <cellStyle name="Currency 5 2 2 2 2 2 9" xfId="4642" xr:uid="{00000000-0005-0000-0000-0000850B0000}"/>
    <cellStyle name="Currency 5 2 2 2 2 2 9 2" xfId="13089" xr:uid="{7F311E7D-84EE-42C2-8515-B03DEED635EF}"/>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47" xr:uid="{0FD4B2DC-7DEF-48C2-A446-5135AFB96BB0}"/>
    <cellStyle name="Currency 5 2 2 2 2 3 2 3" xfId="11432" xr:uid="{45716BB8-FBF3-47F9-825A-1FA6CC869510}"/>
    <cellStyle name="Currency 5 2 2 2 2 3 3" xfId="5055" xr:uid="{00000000-0005-0000-0000-0000890B0000}"/>
    <cellStyle name="Currency 5 2 2 2 2 3 3 2" xfId="13502" xr:uid="{72F8D46E-624D-496E-B037-CAC50E5238CA}"/>
    <cellStyle name="Currency 5 2 2 2 2 3 4" xfId="9287" xr:uid="{FBD9E060-D5EE-4050-B52A-A075390D885D}"/>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0" xr:uid="{710CA256-CADB-4FD5-8D75-8FD087D1995F}"/>
    <cellStyle name="Currency 5 2 2 2 2 4 2 3" xfId="11845" xr:uid="{CB91C647-D7A7-4F29-B9CB-B9F8B140F7A1}"/>
    <cellStyle name="Currency 5 2 2 2 2 4 3" xfId="5468" xr:uid="{00000000-0005-0000-0000-00008D0B0000}"/>
    <cellStyle name="Currency 5 2 2 2 2 4 3 2" xfId="13915" xr:uid="{73515273-8291-4A63-ACBA-A552C951ECBA}"/>
    <cellStyle name="Currency 5 2 2 2 2 4 4" xfId="9700" xr:uid="{4575872C-FD32-4E1B-B89D-E32ADBBB9566}"/>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3" xr:uid="{16B5071A-C438-416F-860B-30FCC3AC37EB}"/>
    <cellStyle name="Currency 5 2 2 2 2 5 2 3" xfId="12258" xr:uid="{4A83927D-4AB4-45A4-8F0F-28C437FA8BCE}"/>
    <cellStyle name="Currency 5 2 2 2 2 5 3" xfId="5881" xr:uid="{00000000-0005-0000-0000-0000910B0000}"/>
    <cellStyle name="Currency 5 2 2 2 2 5 3 2" xfId="14328" xr:uid="{0BEFAACC-2C88-4011-A951-D69E32175391}"/>
    <cellStyle name="Currency 5 2 2 2 2 5 4" xfId="10113" xr:uid="{07034318-A032-4BAC-B7ED-51FE7FD9419F}"/>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6" xr:uid="{352857C3-B9FF-4151-A594-5FE03314BCCA}"/>
    <cellStyle name="Currency 5 2 2 2 2 6 2 3" xfId="12671" xr:uid="{44780F89-7998-45FC-8B2F-3BAC20F85AD9}"/>
    <cellStyle name="Currency 5 2 2 2 2 6 3" xfId="6294" xr:uid="{00000000-0005-0000-0000-0000950B0000}"/>
    <cellStyle name="Currency 5 2 2 2 2 6 3 2" xfId="14741" xr:uid="{85656630-75D7-4FC4-ABE2-4F1972A235CC}"/>
    <cellStyle name="Currency 5 2 2 2 2 6 4" xfId="10526" xr:uid="{F3F67835-85D0-4C99-B972-290DABB4A1E8}"/>
    <cellStyle name="Currency 5 2 2 2 2 7" xfId="2423" xr:uid="{00000000-0005-0000-0000-0000960B0000}"/>
    <cellStyle name="Currency 5 2 2 2 2 7 2" xfId="6707" xr:uid="{00000000-0005-0000-0000-0000970B0000}"/>
    <cellStyle name="Currency 5 2 2 2 2 7 2 2" xfId="15154" xr:uid="{46B099C5-0049-4B68-A359-8C79E1B3F466}"/>
    <cellStyle name="Currency 5 2 2 2 2 7 3" xfId="10939" xr:uid="{C9DF67F9-503D-491B-A862-D38664FE8166}"/>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1" xr:uid="{2B5DFD5B-9D33-4EEA-BCAF-C3DF6E0ACF9E}"/>
    <cellStyle name="Currency 5 2 2 2 2 9 3" xfId="11256" xr:uid="{9282601B-203C-4B75-A5C0-DFAAB67D8D37}"/>
    <cellStyle name="Currency 5 2 2 2 3" xfId="199" xr:uid="{00000000-0005-0000-0000-00009B0B0000}"/>
    <cellStyle name="Currency 5 2 2 2 3 10" xfId="8875" xr:uid="{53D1D658-9326-4381-8C85-CFFD83563169}"/>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49" xr:uid="{BF89BCCA-DE1D-4F31-870B-D894F42B633E}"/>
    <cellStyle name="Currency 5 2 2 2 3 2 2 3" xfId="11434" xr:uid="{8C2CD08E-C248-46A0-888C-A1132113A12A}"/>
    <cellStyle name="Currency 5 2 2 2 3 2 3" xfId="5057" xr:uid="{00000000-0005-0000-0000-00009F0B0000}"/>
    <cellStyle name="Currency 5 2 2 2 3 2 3 2" xfId="13504" xr:uid="{E0D93748-9477-4310-9C18-92069EC2B7A7}"/>
    <cellStyle name="Currency 5 2 2 2 3 2 4" xfId="9289" xr:uid="{6D1EA2C3-7EDD-42BD-92F3-EFC23C14319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2" xr:uid="{F9E39A32-A337-4785-9757-EE7D422FD02C}"/>
    <cellStyle name="Currency 5 2 2 2 3 3 2 3" xfId="11847" xr:uid="{2D001964-02D6-4BB9-803F-F3F4E5C88708}"/>
    <cellStyle name="Currency 5 2 2 2 3 3 3" xfId="5470" xr:uid="{00000000-0005-0000-0000-0000A30B0000}"/>
    <cellStyle name="Currency 5 2 2 2 3 3 3 2" xfId="13917" xr:uid="{AE377CF5-F5BE-44CA-9183-C74D3A072089}"/>
    <cellStyle name="Currency 5 2 2 2 3 3 4" xfId="9702" xr:uid="{AF0D7A20-6AF9-4CFF-AFD3-1DA22C0693D2}"/>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5" xr:uid="{12E9AC27-4C04-4A7A-B015-684CF0F185C4}"/>
    <cellStyle name="Currency 5 2 2 2 3 4 2 3" xfId="12260" xr:uid="{56251D4E-FD7A-461F-A15B-59D1579D7985}"/>
    <cellStyle name="Currency 5 2 2 2 3 4 3" xfId="5883" xr:uid="{00000000-0005-0000-0000-0000A70B0000}"/>
    <cellStyle name="Currency 5 2 2 2 3 4 3 2" xfId="14330" xr:uid="{AE1741C0-B723-461E-93AD-16F771A4FC3A}"/>
    <cellStyle name="Currency 5 2 2 2 3 4 4" xfId="10115" xr:uid="{534DC53B-62F4-410C-9619-3677508F49B2}"/>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88" xr:uid="{76D78A5B-A58C-4BCD-9528-71AFA2CAB1FF}"/>
    <cellStyle name="Currency 5 2 2 2 3 5 2 3" xfId="12673" xr:uid="{990128DE-7F08-4016-A76A-ADD7C1E9D2F4}"/>
    <cellStyle name="Currency 5 2 2 2 3 5 3" xfId="6296" xr:uid="{00000000-0005-0000-0000-0000AB0B0000}"/>
    <cellStyle name="Currency 5 2 2 2 3 5 3 2" xfId="14743" xr:uid="{48C8A95C-FCA9-4D07-A0D9-91D3D6125219}"/>
    <cellStyle name="Currency 5 2 2 2 3 5 4" xfId="10528" xr:uid="{20E62938-F905-4304-AFD3-84B4A8963394}"/>
    <cellStyle name="Currency 5 2 2 2 3 6" xfId="2425" xr:uid="{00000000-0005-0000-0000-0000AC0B0000}"/>
    <cellStyle name="Currency 5 2 2 2 3 6 2" xfId="6709" xr:uid="{00000000-0005-0000-0000-0000AD0B0000}"/>
    <cellStyle name="Currency 5 2 2 2 3 6 2 2" xfId="15156" xr:uid="{BEA61A8B-5120-40CA-8765-12263161641A}"/>
    <cellStyle name="Currency 5 2 2 2 3 6 3" xfId="10941" xr:uid="{6F5EBF34-BD60-4E9B-ABA9-E519CCDECE53}"/>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3" xr:uid="{C52B781E-DCFB-4F05-8EFC-150315C30729}"/>
    <cellStyle name="Currency 5 2 2 2 3 8 3" xfId="11258" xr:uid="{818EAF3D-68A4-451B-842D-BA7653384B42}"/>
    <cellStyle name="Currency 5 2 2 2 3 9" xfId="4643" xr:uid="{00000000-0005-0000-0000-0000B10B0000}"/>
    <cellStyle name="Currency 5 2 2 2 3 9 2" xfId="13090" xr:uid="{9284884C-378C-4F19-ABB9-3B83B7441E7F}"/>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6" xr:uid="{212E9F9D-BEC0-47C5-8086-2D79823DA83C}"/>
    <cellStyle name="Currency 5 2 2 2 4 2 3" xfId="11431" xr:uid="{73DB409C-E117-4E4E-8464-8C8122672163}"/>
    <cellStyle name="Currency 5 2 2 2 4 3" xfId="5054" xr:uid="{00000000-0005-0000-0000-0000B50B0000}"/>
    <cellStyle name="Currency 5 2 2 2 4 3 2" xfId="13501" xr:uid="{0E8429A8-ABD0-48A8-8E5D-CED0D4EE5F70}"/>
    <cellStyle name="Currency 5 2 2 2 4 4" xfId="9286" xr:uid="{0473D5B2-4E9B-4157-90EC-3C1070D75CDF}"/>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59" xr:uid="{40ACB812-AFE8-4D09-81FA-1AB04E856561}"/>
    <cellStyle name="Currency 5 2 2 2 5 2 3" xfId="11844" xr:uid="{21FC81E9-E72A-45B3-A520-82B70278F799}"/>
    <cellStyle name="Currency 5 2 2 2 5 3" xfId="5467" xr:uid="{00000000-0005-0000-0000-0000B90B0000}"/>
    <cellStyle name="Currency 5 2 2 2 5 3 2" xfId="13914" xr:uid="{A86A3A21-3121-431F-870A-B6EF75E961B4}"/>
    <cellStyle name="Currency 5 2 2 2 5 4" xfId="9699" xr:uid="{9CE9EA9F-FA0E-48A2-AA93-E66150888102}"/>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2" xr:uid="{6371F104-6EA9-4C50-8B9A-09401423108C}"/>
    <cellStyle name="Currency 5 2 2 2 6 2 3" xfId="12257" xr:uid="{517D0CC5-029A-4F00-BC3D-8DED0159E918}"/>
    <cellStyle name="Currency 5 2 2 2 6 3" xfId="5880" xr:uid="{00000000-0005-0000-0000-0000BD0B0000}"/>
    <cellStyle name="Currency 5 2 2 2 6 3 2" xfId="14327" xr:uid="{EF363F98-B06C-4961-82E0-9C6A35CAF503}"/>
    <cellStyle name="Currency 5 2 2 2 6 4" xfId="10112" xr:uid="{46BCC9C4-5DFE-4C7F-B020-9828119CEE71}"/>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5" xr:uid="{46E58B1C-331F-4D97-9CD0-231ED5CF0F8F}"/>
    <cellStyle name="Currency 5 2 2 2 7 2 3" xfId="12670" xr:uid="{70F294B6-C0BB-4FDD-BDD0-C25B31934380}"/>
    <cellStyle name="Currency 5 2 2 2 7 3" xfId="6293" xr:uid="{00000000-0005-0000-0000-0000C10B0000}"/>
    <cellStyle name="Currency 5 2 2 2 7 3 2" xfId="14740" xr:uid="{714CC096-5C25-4D48-911E-6AE7B306A3F7}"/>
    <cellStyle name="Currency 5 2 2 2 7 4" xfId="10525" xr:uid="{73575EE3-016C-40F1-85D5-D9EC26DCE469}"/>
    <cellStyle name="Currency 5 2 2 2 8" xfId="2422" xr:uid="{00000000-0005-0000-0000-0000C20B0000}"/>
    <cellStyle name="Currency 5 2 2 2 8 2" xfId="6706" xr:uid="{00000000-0005-0000-0000-0000C30B0000}"/>
    <cellStyle name="Currency 5 2 2 2 8 2 2" xfId="15153" xr:uid="{B7C19E28-401E-4B7A-8432-13FEBEB14006}"/>
    <cellStyle name="Currency 5 2 2 2 8 3" xfId="10938" xr:uid="{8ADA9354-DF3C-4CE6-B44B-4232D64CF927}"/>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1" xr:uid="{1B449DB2-8CCE-44C1-AC0C-624C5A385438}"/>
    <cellStyle name="Currency 5 2 2 3 11" xfId="8876" xr:uid="{2AA98084-E1BC-49C6-BB46-0D49B669275F}"/>
    <cellStyle name="Currency 5 2 2 3 2" xfId="201" xr:uid="{00000000-0005-0000-0000-0000C70B0000}"/>
    <cellStyle name="Currency 5 2 2 3 2 10" xfId="8877" xr:uid="{7DE6C3EB-C383-4982-90BD-EE8B877C3CD5}"/>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1" xr:uid="{08FAC9AC-32D5-4EB0-9A49-B057445C60C2}"/>
    <cellStyle name="Currency 5 2 2 3 2 2 2 3" xfId="11436" xr:uid="{70E2616A-1974-4EFE-924B-475F9107AB9E}"/>
    <cellStyle name="Currency 5 2 2 3 2 2 3" xfId="5059" xr:uid="{00000000-0005-0000-0000-0000CB0B0000}"/>
    <cellStyle name="Currency 5 2 2 3 2 2 3 2" xfId="13506" xr:uid="{1A65C46B-4BDB-47CE-9D04-214BC08A5625}"/>
    <cellStyle name="Currency 5 2 2 3 2 2 4" xfId="9291" xr:uid="{719A8E63-05E5-4586-BC91-6277061F485B}"/>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4" xr:uid="{C0327169-8B9F-4091-9A21-3B4BD91FCA66}"/>
    <cellStyle name="Currency 5 2 2 3 2 3 2 3" xfId="11849" xr:uid="{0069AA2C-9E9F-4811-9D0E-B2C922687CBF}"/>
    <cellStyle name="Currency 5 2 2 3 2 3 3" xfId="5472" xr:uid="{00000000-0005-0000-0000-0000CF0B0000}"/>
    <cellStyle name="Currency 5 2 2 3 2 3 3 2" xfId="13919" xr:uid="{BE29BD3E-F5F0-49E4-8AD6-FE2F6CA835F7}"/>
    <cellStyle name="Currency 5 2 2 3 2 3 4" xfId="9704" xr:uid="{D2632272-0671-421C-BBD6-825ADB609069}"/>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77" xr:uid="{07E4AE27-D63B-42E9-8CE7-DB56F07B7AF5}"/>
    <cellStyle name="Currency 5 2 2 3 2 4 2 3" xfId="12262" xr:uid="{8C67B89F-3842-4C44-8D26-085CEA3D48D1}"/>
    <cellStyle name="Currency 5 2 2 3 2 4 3" xfId="5885" xr:uid="{00000000-0005-0000-0000-0000D30B0000}"/>
    <cellStyle name="Currency 5 2 2 3 2 4 3 2" xfId="14332" xr:uid="{1EDF2EC5-652F-42F3-A0A8-6EFADAF6BE18}"/>
    <cellStyle name="Currency 5 2 2 3 2 4 4" xfId="10117" xr:uid="{252D25D6-F100-4418-AB92-38E7730D1982}"/>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0" xr:uid="{B13F4ACA-1BF2-458C-B6C2-14973E7CF761}"/>
    <cellStyle name="Currency 5 2 2 3 2 5 2 3" xfId="12675" xr:uid="{A5855AED-74D2-45A3-A4DD-215B98D343B3}"/>
    <cellStyle name="Currency 5 2 2 3 2 5 3" xfId="6298" xr:uid="{00000000-0005-0000-0000-0000D70B0000}"/>
    <cellStyle name="Currency 5 2 2 3 2 5 3 2" xfId="14745" xr:uid="{562DB0C2-E289-4E35-8C16-2A9E45DAC6A4}"/>
    <cellStyle name="Currency 5 2 2 3 2 5 4" xfId="10530" xr:uid="{5992AE3E-B0BF-4022-9AD8-2FC1A46FC7EE}"/>
    <cellStyle name="Currency 5 2 2 3 2 6" xfId="2427" xr:uid="{00000000-0005-0000-0000-0000D80B0000}"/>
    <cellStyle name="Currency 5 2 2 3 2 6 2" xfId="6711" xr:uid="{00000000-0005-0000-0000-0000D90B0000}"/>
    <cellStyle name="Currency 5 2 2 3 2 6 2 2" xfId="15158" xr:uid="{AA7E8432-8C56-4ECA-89B1-1DE659488AA8}"/>
    <cellStyle name="Currency 5 2 2 3 2 6 3" xfId="10943" xr:uid="{BB46A6B5-E0E4-4E35-9F63-D2FDA3DEB61C}"/>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5" xr:uid="{DBEE8445-CF55-4AE9-B7D7-3CA13FFC165B}"/>
    <cellStyle name="Currency 5 2 2 3 2 8 3" xfId="11260" xr:uid="{42233746-9CC2-41C2-A676-8944B2957EB6}"/>
    <cellStyle name="Currency 5 2 2 3 2 9" xfId="4645" xr:uid="{00000000-0005-0000-0000-0000DD0B0000}"/>
    <cellStyle name="Currency 5 2 2 3 2 9 2" xfId="13092" xr:uid="{A96756BE-BFFC-44FF-BE76-2D2F01AEF504}"/>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0" xr:uid="{E39FBF85-D092-4DC5-8818-A0354A295EB5}"/>
    <cellStyle name="Currency 5 2 2 3 3 2 3" xfId="11435" xr:uid="{83A8BFF5-2BEC-46FA-8092-4673DC100277}"/>
    <cellStyle name="Currency 5 2 2 3 3 3" xfId="5058" xr:uid="{00000000-0005-0000-0000-0000E10B0000}"/>
    <cellStyle name="Currency 5 2 2 3 3 3 2" xfId="13505" xr:uid="{65908DC8-86D0-4CE8-9A3E-F1383FD8FCF0}"/>
    <cellStyle name="Currency 5 2 2 3 3 4" xfId="9290" xr:uid="{B2D81E6B-5C3E-4B37-996A-C51FE6DE49A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3" xr:uid="{567E4EBE-CEE9-4498-A708-4F12A463FE85}"/>
    <cellStyle name="Currency 5 2 2 3 4 2 3" xfId="11848" xr:uid="{7E42874F-3772-4246-8BAB-B4699BDD8E08}"/>
    <cellStyle name="Currency 5 2 2 3 4 3" xfId="5471" xr:uid="{00000000-0005-0000-0000-0000E50B0000}"/>
    <cellStyle name="Currency 5 2 2 3 4 3 2" xfId="13918" xr:uid="{723E0329-40F5-4D4A-95D7-EC225B809124}"/>
    <cellStyle name="Currency 5 2 2 3 4 4" xfId="9703" xr:uid="{25F48E7C-3073-402C-BF14-62966E16A883}"/>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6" xr:uid="{27B7E62E-9EBC-4DEC-91A4-6BD690ECC708}"/>
    <cellStyle name="Currency 5 2 2 3 5 2 3" xfId="12261" xr:uid="{1CA07823-B0DC-49DF-9227-4288C9F63E6B}"/>
    <cellStyle name="Currency 5 2 2 3 5 3" xfId="5884" xr:uid="{00000000-0005-0000-0000-0000E90B0000}"/>
    <cellStyle name="Currency 5 2 2 3 5 3 2" xfId="14331" xr:uid="{770F595C-9A41-46E5-A73B-8F9F6F7329E3}"/>
    <cellStyle name="Currency 5 2 2 3 5 4" xfId="10116" xr:uid="{037CF767-9C30-4F1D-8E69-FF6B38CD923D}"/>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89" xr:uid="{373D959C-6934-480C-ADFF-CB69B9CF37CD}"/>
    <cellStyle name="Currency 5 2 2 3 6 2 3" xfId="12674" xr:uid="{D3008B32-938A-4DEF-9042-EB382C4ED765}"/>
    <cellStyle name="Currency 5 2 2 3 6 3" xfId="6297" xr:uid="{00000000-0005-0000-0000-0000ED0B0000}"/>
    <cellStyle name="Currency 5 2 2 3 6 3 2" xfId="14744" xr:uid="{E867B727-0FB4-4832-83BD-FEE83550EF96}"/>
    <cellStyle name="Currency 5 2 2 3 6 4" xfId="10529" xr:uid="{DA585C6A-0E10-40D4-B5C4-649636CD25FD}"/>
    <cellStyle name="Currency 5 2 2 3 7" xfId="2426" xr:uid="{00000000-0005-0000-0000-0000EE0B0000}"/>
    <cellStyle name="Currency 5 2 2 3 7 2" xfId="6710" xr:uid="{00000000-0005-0000-0000-0000EF0B0000}"/>
    <cellStyle name="Currency 5 2 2 3 7 2 2" xfId="15157" xr:uid="{AA8833DD-5670-4DD3-986E-4D5D756DE169}"/>
    <cellStyle name="Currency 5 2 2 3 7 3" xfId="10942" xr:uid="{E193342A-D0CE-44D2-937C-C8BA76FCE5BA}"/>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4" xr:uid="{BDAA0DBC-E177-4B62-B6AC-833D0A17178A}"/>
    <cellStyle name="Currency 5 2 2 3 9 3" xfId="11259" xr:uid="{F797E2F7-688F-429C-866F-6A0814FE36DC}"/>
    <cellStyle name="Currency 5 2 2 4" xfId="202" xr:uid="{00000000-0005-0000-0000-0000F30B0000}"/>
    <cellStyle name="Currency 5 2 2 4 10" xfId="8878" xr:uid="{EE1447E3-73CB-48DF-AF1E-AF3E192AC9A7}"/>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2" xr:uid="{58CCBBC1-A6AB-47FE-8582-7EF9E746E913}"/>
    <cellStyle name="Currency 5 2 2 4 2 2 3" xfId="11437" xr:uid="{B8F1B931-F7AF-479B-9C83-A49AD4391BEA}"/>
    <cellStyle name="Currency 5 2 2 4 2 3" xfId="5060" xr:uid="{00000000-0005-0000-0000-0000F70B0000}"/>
    <cellStyle name="Currency 5 2 2 4 2 3 2" xfId="13507" xr:uid="{0C240198-616A-453B-8D27-0D4090C8153D}"/>
    <cellStyle name="Currency 5 2 2 4 2 4" xfId="9292" xr:uid="{4B228990-316F-46B3-9D6B-FB0F78D4515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5" xr:uid="{CDCA8B80-9F95-4B07-AC62-9C3F9754818E}"/>
    <cellStyle name="Currency 5 2 2 4 3 2 3" xfId="11850" xr:uid="{17177B31-1FDA-486F-A417-73272871B59A}"/>
    <cellStyle name="Currency 5 2 2 4 3 3" xfId="5473" xr:uid="{00000000-0005-0000-0000-0000FB0B0000}"/>
    <cellStyle name="Currency 5 2 2 4 3 3 2" xfId="13920" xr:uid="{6D8EB62A-5A88-4980-AB90-E7D55419417F}"/>
    <cellStyle name="Currency 5 2 2 4 3 4" xfId="9705" xr:uid="{BF502711-4172-447D-9C14-7131FDF8C4EB}"/>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78" xr:uid="{F26FC81B-3E42-497C-9A14-024C4FB92F89}"/>
    <cellStyle name="Currency 5 2 2 4 4 2 3" xfId="12263" xr:uid="{1D585AFA-4082-478B-B5C8-B9F4960B5386}"/>
    <cellStyle name="Currency 5 2 2 4 4 3" xfId="5886" xr:uid="{00000000-0005-0000-0000-0000FF0B0000}"/>
    <cellStyle name="Currency 5 2 2 4 4 3 2" xfId="14333" xr:uid="{A3801709-D020-416A-9856-0B6811BD19BA}"/>
    <cellStyle name="Currency 5 2 2 4 4 4" xfId="10118" xr:uid="{F37936E8-BD2C-4A31-B103-FF61639405E9}"/>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1" xr:uid="{F2099B4E-3D9D-4D7B-9CA3-1909FF4C8C92}"/>
    <cellStyle name="Currency 5 2 2 4 5 2 3" xfId="12676" xr:uid="{E29042FA-329C-4D95-B26B-BAA06963E66D}"/>
    <cellStyle name="Currency 5 2 2 4 5 3" xfId="6299" xr:uid="{00000000-0005-0000-0000-0000030C0000}"/>
    <cellStyle name="Currency 5 2 2 4 5 3 2" xfId="14746" xr:uid="{78FCBB34-C5C2-4E66-9F88-D6D76CD90883}"/>
    <cellStyle name="Currency 5 2 2 4 5 4" xfId="10531" xr:uid="{38F1AFF4-32A4-466A-88E4-24BC8A765622}"/>
    <cellStyle name="Currency 5 2 2 4 6" xfId="2428" xr:uid="{00000000-0005-0000-0000-0000040C0000}"/>
    <cellStyle name="Currency 5 2 2 4 6 2" xfId="6712" xr:uid="{00000000-0005-0000-0000-0000050C0000}"/>
    <cellStyle name="Currency 5 2 2 4 6 2 2" xfId="15159" xr:uid="{50027F41-32F9-4AD3-90AB-5D36F65DF706}"/>
    <cellStyle name="Currency 5 2 2 4 6 3" xfId="10944" xr:uid="{E205B7BE-CBEF-4E91-945B-7C38BCCC2355}"/>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6" xr:uid="{7C2A10AB-94F6-4BF4-8309-1BF1855CD41C}"/>
    <cellStyle name="Currency 5 2 2 4 8 3" xfId="11261" xr:uid="{A52ECB04-1B9A-4744-B3A7-B7DA29CB6A39}"/>
    <cellStyle name="Currency 5 2 2 4 9" xfId="4646" xr:uid="{00000000-0005-0000-0000-0000090C0000}"/>
    <cellStyle name="Currency 5 2 2 4 9 2" xfId="13093" xr:uid="{114F2F1C-CB15-4F09-853E-EC38C0BD87FF}"/>
    <cellStyle name="Currency 5 2 2 5" xfId="203" xr:uid="{00000000-0005-0000-0000-00000A0C0000}"/>
    <cellStyle name="Currency 5 2 2 5 10" xfId="8879" xr:uid="{602745EA-D9BD-4F9C-B476-9CE664C2D746}"/>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3" xr:uid="{5A3FA025-D111-46E9-8D14-4D62C22623DE}"/>
    <cellStyle name="Currency 5 2 2 5 2 2 3" xfId="11438" xr:uid="{9107CA57-43A8-47EC-A7F9-E83BA48C08C5}"/>
    <cellStyle name="Currency 5 2 2 5 2 3" xfId="5061" xr:uid="{00000000-0005-0000-0000-00000E0C0000}"/>
    <cellStyle name="Currency 5 2 2 5 2 3 2" xfId="13508" xr:uid="{A1CC0BAA-A677-43F8-9401-09CE7187E837}"/>
    <cellStyle name="Currency 5 2 2 5 2 4" xfId="9293" xr:uid="{C7E6F907-A0C3-4E6B-8413-42CE59ED457C}"/>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6" xr:uid="{DA0F5732-6DD3-4875-A7A5-49BF080A1F6A}"/>
    <cellStyle name="Currency 5 2 2 5 3 2 3" xfId="11851" xr:uid="{D360F888-9403-44C7-AFF8-6DC54C45FA63}"/>
    <cellStyle name="Currency 5 2 2 5 3 3" xfId="5474" xr:uid="{00000000-0005-0000-0000-0000120C0000}"/>
    <cellStyle name="Currency 5 2 2 5 3 3 2" xfId="13921" xr:uid="{8A9161CE-0765-4B52-9409-9E4A637CD6C9}"/>
    <cellStyle name="Currency 5 2 2 5 3 4" xfId="9706" xr:uid="{24484496-099B-4C75-8BEB-4AD4084CEACE}"/>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79" xr:uid="{1486B1F7-7B39-4C43-9DA9-5E293740A304}"/>
    <cellStyle name="Currency 5 2 2 5 4 2 3" xfId="12264" xr:uid="{11A89486-FC70-4244-8A46-E68B188605FD}"/>
    <cellStyle name="Currency 5 2 2 5 4 3" xfId="5887" xr:uid="{00000000-0005-0000-0000-0000160C0000}"/>
    <cellStyle name="Currency 5 2 2 5 4 3 2" xfId="14334" xr:uid="{7C8BB5C1-4734-46A9-9BB2-1B67CE1B1FB4}"/>
    <cellStyle name="Currency 5 2 2 5 4 4" xfId="10119" xr:uid="{F90409DB-A0D6-4261-B127-5546845049A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2" xr:uid="{C42D37DD-55C6-4A3C-9665-FF7E05A198DF}"/>
    <cellStyle name="Currency 5 2 2 5 5 2 3" xfId="12677" xr:uid="{A520FB49-20A8-4608-AFF3-A44DA448858B}"/>
    <cellStyle name="Currency 5 2 2 5 5 3" xfId="6300" xr:uid="{00000000-0005-0000-0000-00001A0C0000}"/>
    <cellStyle name="Currency 5 2 2 5 5 3 2" xfId="14747" xr:uid="{3CEAC8C9-AB3C-45E6-A0B7-BF847EA6DFAC}"/>
    <cellStyle name="Currency 5 2 2 5 5 4" xfId="10532" xr:uid="{6F809EB7-2B6E-4309-89B2-F1F99E9339F5}"/>
    <cellStyle name="Currency 5 2 2 5 6" xfId="2429" xr:uid="{00000000-0005-0000-0000-00001B0C0000}"/>
    <cellStyle name="Currency 5 2 2 5 6 2" xfId="6713" xr:uid="{00000000-0005-0000-0000-00001C0C0000}"/>
    <cellStyle name="Currency 5 2 2 5 6 2 2" xfId="15160" xr:uid="{301EA92E-D710-42CA-AFF7-63D07F9A2B6E}"/>
    <cellStyle name="Currency 5 2 2 5 6 3" xfId="10945" xr:uid="{ACA9939E-C6A4-4BB8-B373-F9822346E090}"/>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77" xr:uid="{F03B0101-C369-4C10-98E4-364BAA4B654B}"/>
    <cellStyle name="Currency 5 2 2 5 8 3" xfId="11262" xr:uid="{23DBCDDD-0EF0-4F0D-AD26-9C56970CFAC2}"/>
    <cellStyle name="Currency 5 2 2 5 9" xfId="4647" xr:uid="{00000000-0005-0000-0000-0000200C0000}"/>
    <cellStyle name="Currency 5 2 2 5 9 2" xfId="13094" xr:uid="{EE5C6A60-BAE7-46C4-A5F9-0C892934A7C2}"/>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5" xr:uid="{2A4734AF-69F8-4907-A9E9-1FA151647BFE}"/>
    <cellStyle name="Currency 5 2 4 11" xfId="8880" xr:uid="{DA8AD4E7-2E9F-412D-AB0D-4CBA4838498F}"/>
    <cellStyle name="Currency 5 2 4 2" xfId="206" xr:uid="{00000000-0005-0000-0000-0000250C0000}"/>
    <cellStyle name="Currency 5 2 4 2 10" xfId="8881" xr:uid="{F39FB6D2-FC17-49EB-9773-D0B8FCCA633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5" xr:uid="{1306F002-9BA9-4108-8AA9-B59A7EDCAACF}"/>
    <cellStyle name="Currency 5 2 4 2 2 2 3" xfId="11440" xr:uid="{F7894BE3-E508-45A4-A478-AEA00D128950}"/>
    <cellStyle name="Currency 5 2 4 2 2 3" xfId="5063" xr:uid="{00000000-0005-0000-0000-0000290C0000}"/>
    <cellStyle name="Currency 5 2 4 2 2 3 2" xfId="13510" xr:uid="{F587899E-C6E1-40BF-9D46-FA740F884522}"/>
    <cellStyle name="Currency 5 2 4 2 2 4" xfId="9295" xr:uid="{A0D17F2B-DBAE-4508-B9C0-CA1F5FD30008}"/>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68" xr:uid="{ED6E446F-099D-4BA6-B029-FE78DFA22E8A}"/>
    <cellStyle name="Currency 5 2 4 2 3 2 3" xfId="11853" xr:uid="{A438CAA3-4972-492D-962B-66982719E12A}"/>
    <cellStyle name="Currency 5 2 4 2 3 3" xfId="5476" xr:uid="{00000000-0005-0000-0000-00002D0C0000}"/>
    <cellStyle name="Currency 5 2 4 2 3 3 2" xfId="13923" xr:uid="{8FBA74C6-5720-4E98-81DE-EC3BEA3D491A}"/>
    <cellStyle name="Currency 5 2 4 2 3 4" xfId="9708" xr:uid="{57854873-292B-42E6-905B-F9ACEB9AFF28}"/>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1" xr:uid="{F003D8B7-7BD1-400D-96C4-FDE472FC9773}"/>
    <cellStyle name="Currency 5 2 4 2 4 2 3" xfId="12266" xr:uid="{1F71EA3A-A266-4BE8-A809-51C684B11A19}"/>
    <cellStyle name="Currency 5 2 4 2 4 3" xfId="5889" xr:uid="{00000000-0005-0000-0000-0000310C0000}"/>
    <cellStyle name="Currency 5 2 4 2 4 3 2" xfId="14336" xr:uid="{15FD3816-3D92-40C2-B9E9-3258B185601D}"/>
    <cellStyle name="Currency 5 2 4 2 4 4" xfId="10121" xr:uid="{B82D8106-F3F2-427D-A06D-7849B37FF99F}"/>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4" xr:uid="{806E6179-1538-46F6-93B6-00E030C2594A}"/>
    <cellStyle name="Currency 5 2 4 2 5 2 3" xfId="12679" xr:uid="{E700524D-F9D9-405B-A1E5-AC776920FCBD}"/>
    <cellStyle name="Currency 5 2 4 2 5 3" xfId="6302" xr:uid="{00000000-0005-0000-0000-0000350C0000}"/>
    <cellStyle name="Currency 5 2 4 2 5 3 2" xfId="14749" xr:uid="{D1ABFDB0-7652-4235-9290-14C861ADB86B}"/>
    <cellStyle name="Currency 5 2 4 2 5 4" xfId="10534" xr:uid="{39A2BCB5-CD9E-47DC-96D4-0E8587A155E2}"/>
    <cellStyle name="Currency 5 2 4 2 6" xfId="2431" xr:uid="{00000000-0005-0000-0000-0000360C0000}"/>
    <cellStyle name="Currency 5 2 4 2 6 2" xfId="6715" xr:uid="{00000000-0005-0000-0000-0000370C0000}"/>
    <cellStyle name="Currency 5 2 4 2 6 2 2" xfId="15162" xr:uid="{F4165293-576A-43B4-8553-D2E97F5D278D}"/>
    <cellStyle name="Currency 5 2 4 2 6 3" xfId="10947" xr:uid="{98FFF286-8F46-498C-A78F-8BEAA04491B1}"/>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79" xr:uid="{EB26FFA2-17ED-426B-A6AD-7FFF45437897}"/>
    <cellStyle name="Currency 5 2 4 2 8 3" xfId="11264" xr:uid="{E000D948-FAE2-451E-9035-6FB56C3F0698}"/>
    <cellStyle name="Currency 5 2 4 2 9" xfId="4649" xr:uid="{00000000-0005-0000-0000-00003B0C0000}"/>
    <cellStyle name="Currency 5 2 4 2 9 2" xfId="13096" xr:uid="{0830C767-26B6-4301-8EC7-975959C9D1B2}"/>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4" xr:uid="{B4408DE3-B114-4169-867E-FBCC0848FDE4}"/>
    <cellStyle name="Currency 5 2 4 3 2 3" xfId="11439" xr:uid="{BBEBB21E-D67F-4262-BAC3-B69CEFEB9FE1}"/>
    <cellStyle name="Currency 5 2 4 3 3" xfId="5062" xr:uid="{00000000-0005-0000-0000-00003F0C0000}"/>
    <cellStyle name="Currency 5 2 4 3 3 2" xfId="13509" xr:uid="{E510942A-8D92-471E-B97B-8654A6EFC3D4}"/>
    <cellStyle name="Currency 5 2 4 3 4" xfId="9294" xr:uid="{D223D074-0183-46C8-A46F-6EBE50E4A904}"/>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67" xr:uid="{A26F3002-9CCC-4506-9C65-F7FD328CA5A0}"/>
    <cellStyle name="Currency 5 2 4 4 2 3" xfId="11852" xr:uid="{4FC4C677-2EFF-4BE3-808E-EB3C500AA3F8}"/>
    <cellStyle name="Currency 5 2 4 4 3" xfId="5475" xr:uid="{00000000-0005-0000-0000-0000430C0000}"/>
    <cellStyle name="Currency 5 2 4 4 3 2" xfId="13922" xr:uid="{57136596-8AC4-4988-91E5-96C83D6E4147}"/>
    <cellStyle name="Currency 5 2 4 4 4" xfId="9707" xr:uid="{87D739C5-2E36-4FEA-A64A-9C1D980487F4}"/>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0" xr:uid="{0A245B95-9E01-4E62-870A-B528559D7E63}"/>
    <cellStyle name="Currency 5 2 4 5 2 3" xfId="12265" xr:uid="{618B18D6-162C-4C81-987C-01CD83C0F21F}"/>
    <cellStyle name="Currency 5 2 4 5 3" xfId="5888" xr:uid="{00000000-0005-0000-0000-0000470C0000}"/>
    <cellStyle name="Currency 5 2 4 5 3 2" xfId="14335" xr:uid="{EACBAF7F-C1C6-4A6E-9CF9-33B47816F3F2}"/>
    <cellStyle name="Currency 5 2 4 5 4" xfId="10120" xr:uid="{EF8FC9DD-F9C2-44B9-961E-E15C9C289E37}"/>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3" xr:uid="{596FB492-71E1-4EA0-A9E4-A33F738273F4}"/>
    <cellStyle name="Currency 5 2 4 6 2 3" xfId="12678" xr:uid="{B36398D2-10A2-4F64-B7B2-9130DAF6DB98}"/>
    <cellStyle name="Currency 5 2 4 6 3" xfId="6301" xr:uid="{00000000-0005-0000-0000-00004B0C0000}"/>
    <cellStyle name="Currency 5 2 4 6 3 2" xfId="14748" xr:uid="{BF0E1491-9734-4906-B817-6452D5938DBB}"/>
    <cellStyle name="Currency 5 2 4 6 4" xfId="10533" xr:uid="{01464A62-AC4A-4C18-9BDA-D141E6537CA8}"/>
    <cellStyle name="Currency 5 2 4 7" xfId="2430" xr:uid="{00000000-0005-0000-0000-00004C0C0000}"/>
    <cellStyle name="Currency 5 2 4 7 2" xfId="6714" xr:uid="{00000000-0005-0000-0000-00004D0C0000}"/>
    <cellStyle name="Currency 5 2 4 7 2 2" xfId="15161" xr:uid="{62243A1A-CEC5-4BD3-B64C-94E915FE83DD}"/>
    <cellStyle name="Currency 5 2 4 7 3" xfId="10946" xr:uid="{E6C38A11-DE31-42ED-BDBE-F3AB0E2096AD}"/>
    <cellStyle name="Currency 5 2 4 8" xfId="2727" xr:uid="{00000000-0005-0000-0000-00004E0C0000}"/>
    <cellStyle name="Currency 5 2 4 9" xfId="2808" xr:uid="{00000000-0005-0000-0000-00004F0C0000}"/>
    <cellStyle name="Currency 5 2 4 9 2" xfId="7031" xr:uid="{00000000-0005-0000-0000-0000500C0000}"/>
    <cellStyle name="Currency 5 2 4 9 2 2" xfId="15478" xr:uid="{9899FCAA-6D45-4C61-A120-85BE1A3CC53B}"/>
    <cellStyle name="Currency 5 2 4 9 3" xfId="11263" xr:uid="{DE3633D4-C2D2-41BE-9E14-415FE0E07B51}"/>
    <cellStyle name="Currency 5 2 5" xfId="207" xr:uid="{00000000-0005-0000-0000-0000510C0000}"/>
    <cellStyle name="Currency 5 2 5 10" xfId="8882" xr:uid="{A342F0BF-0667-4303-9140-06FAB621EFF8}"/>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6" xr:uid="{B8A103F3-40BA-4E78-9187-2CC59EF324CF}"/>
    <cellStyle name="Currency 5 2 5 2 2 3" xfId="11441" xr:uid="{D0043C6E-61E0-4188-AB66-505E239C4399}"/>
    <cellStyle name="Currency 5 2 5 2 3" xfId="5064" xr:uid="{00000000-0005-0000-0000-0000550C0000}"/>
    <cellStyle name="Currency 5 2 5 2 3 2" xfId="13511" xr:uid="{5727D34A-39BA-4E3B-A08B-BB73F0E075DA}"/>
    <cellStyle name="Currency 5 2 5 2 4" xfId="9296" xr:uid="{3FBA66B8-1C8A-4F56-AFB2-AE501296327F}"/>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69" xr:uid="{B266E75C-7DF9-437A-BB2D-4FED8E40EC4E}"/>
    <cellStyle name="Currency 5 2 5 3 2 3" xfId="11854" xr:uid="{DBA0733C-5A2A-4A5A-A9D2-44DB7149F2A6}"/>
    <cellStyle name="Currency 5 2 5 3 3" xfId="5477" xr:uid="{00000000-0005-0000-0000-0000590C0000}"/>
    <cellStyle name="Currency 5 2 5 3 3 2" xfId="13924" xr:uid="{C8BD57E7-42FD-4B80-8E26-97D832D0A435}"/>
    <cellStyle name="Currency 5 2 5 3 4" xfId="9709" xr:uid="{1655C5D6-AF36-4AA2-A175-615F1CEDAF7D}"/>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2" xr:uid="{180B6D90-6DDA-4275-918F-30F3390BF8EC}"/>
    <cellStyle name="Currency 5 2 5 4 2 3" xfId="12267" xr:uid="{5077F43B-8854-43C0-BDBE-5E1B73852329}"/>
    <cellStyle name="Currency 5 2 5 4 3" xfId="5890" xr:uid="{00000000-0005-0000-0000-00005D0C0000}"/>
    <cellStyle name="Currency 5 2 5 4 3 2" xfId="14337" xr:uid="{12EEB3F6-A87C-4084-B460-5CBA21A9002A}"/>
    <cellStyle name="Currency 5 2 5 4 4" xfId="10122" xr:uid="{3387181E-95E2-4BB4-A4C4-DED68D1C5D1D}"/>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5" xr:uid="{841924F3-ECDF-417C-BC45-5B281A180667}"/>
    <cellStyle name="Currency 5 2 5 5 2 3" xfId="12680" xr:uid="{C451128E-92CD-4ADE-986D-4AF6D63B6880}"/>
    <cellStyle name="Currency 5 2 5 5 3" xfId="6303" xr:uid="{00000000-0005-0000-0000-0000610C0000}"/>
    <cellStyle name="Currency 5 2 5 5 3 2" xfId="14750" xr:uid="{F2CD8112-C9A4-4130-AD1F-2F83025BE8D0}"/>
    <cellStyle name="Currency 5 2 5 5 4" xfId="10535" xr:uid="{F4F8899D-F88F-41E2-BAFE-40DEC8E1737A}"/>
    <cellStyle name="Currency 5 2 5 6" xfId="2432" xr:uid="{00000000-0005-0000-0000-0000620C0000}"/>
    <cellStyle name="Currency 5 2 5 6 2" xfId="6716" xr:uid="{00000000-0005-0000-0000-0000630C0000}"/>
    <cellStyle name="Currency 5 2 5 6 2 2" xfId="15163" xr:uid="{9B3819A4-91DB-48C9-ACEE-F4984917698A}"/>
    <cellStyle name="Currency 5 2 5 6 3" xfId="10948" xr:uid="{1F3910AA-A1AD-4136-9D7F-B1A579FBD926}"/>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0" xr:uid="{F5B4543E-48F4-48A2-BB44-34D60AB3DBC0}"/>
    <cellStyle name="Currency 5 2 5 8 3" xfId="11265" xr:uid="{06295399-73DD-4C41-A10A-1DE2B3105A0D}"/>
    <cellStyle name="Currency 5 2 5 9" xfId="4650" xr:uid="{00000000-0005-0000-0000-0000670C0000}"/>
    <cellStyle name="Currency 5 2 5 9 2" xfId="13097" xr:uid="{47564B98-4E1A-4B7C-ABE7-2831762995EA}"/>
    <cellStyle name="Currency 5 2 6" xfId="208" xr:uid="{00000000-0005-0000-0000-0000680C0000}"/>
    <cellStyle name="Currency 5 2 6 10" xfId="8883" xr:uid="{7F4F1449-5E76-400F-96E8-C2C6644B5012}"/>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57" xr:uid="{0CD9762A-3DF9-4F09-97A1-4B296AB9DD5C}"/>
    <cellStyle name="Currency 5 2 6 2 2 3" xfId="11442" xr:uid="{418BE31E-62B8-4779-B857-20EFA437330F}"/>
    <cellStyle name="Currency 5 2 6 2 3" xfId="5065" xr:uid="{00000000-0005-0000-0000-00006C0C0000}"/>
    <cellStyle name="Currency 5 2 6 2 3 2" xfId="13512" xr:uid="{D1B90E42-2578-4965-9364-5FE9EBFAED35}"/>
    <cellStyle name="Currency 5 2 6 2 4" xfId="9297" xr:uid="{EF10E3A4-1C5D-4647-8A1E-9AB21AB3F2ED}"/>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0" xr:uid="{F135A35A-76F3-464B-9FCF-15A105F0629C}"/>
    <cellStyle name="Currency 5 2 6 3 2 3" xfId="11855" xr:uid="{7CDB1FE2-D561-4017-95E3-8E161CD0F2D3}"/>
    <cellStyle name="Currency 5 2 6 3 3" xfId="5478" xr:uid="{00000000-0005-0000-0000-0000700C0000}"/>
    <cellStyle name="Currency 5 2 6 3 3 2" xfId="13925" xr:uid="{CC85369D-D94B-40F2-BB2C-CE354FEA78B5}"/>
    <cellStyle name="Currency 5 2 6 3 4" xfId="9710" xr:uid="{CD07EC88-9593-427C-8389-108694D9F955}"/>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3" xr:uid="{A4C2A11D-4520-4561-A81B-D0998EEC7056}"/>
    <cellStyle name="Currency 5 2 6 4 2 3" xfId="12268" xr:uid="{872EFA11-FC5C-4B04-986F-8700F65D894B}"/>
    <cellStyle name="Currency 5 2 6 4 3" xfId="5891" xr:uid="{00000000-0005-0000-0000-0000740C0000}"/>
    <cellStyle name="Currency 5 2 6 4 3 2" xfId="14338" xr:uid="{8BE1B0F0-0600-487A-9F72-B63E1DF44D4A}"/>
    <cellStyle name="Currency 5 2 6 4 4" xfId="10123" xr:uid="{53F56DEA-8ABD-479E-B162-50EF479A131D}"/>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6" xr:uid="{15C4E5F1-BA37-43E8-923C-DCB26E117369}"/>
    <cellStyle name="Currency 5 2 6 5 2 3" xfId="12681" xr:uid="{8D8577B3-E725-4AB8-8203-CB6F13587C7B}"/>
    <cellStyle name="Currency 5 2 6 5 3" xfId="6304" xr:uid="{00000000-0005-0000-0000-0000780C0000}"/>
    <cellStyle name="Currency 5 2 6 5 3 2" xfId="14751" xr:uid="{691D33B9-4518-4B51-9C19-60C1738BC652}"/>
    <cellStyle name="Currency 5 2 6 5 4" xfId="10536" xr:uid="{382E927E-9B23-48D8-883B-8E8F28CC3EA3}"/>
    <cellStyle name="Currency 5 2 6 6" xfId="2433" xr:uid="{00000000-0005-0000-0000-0000790C0000}"/>
    <cellStyle name="Currency 5 2 6 6 2" xfId="6717" xr:uid="{00000000-0005-0000-0000-00007A0C0000}"/>
    <cellStyle name="Currency 5 2 6 6 2 2" xfId="15164" xr:uid="{13E08415-9E76-4583-AD8F-4710D515FC26}"/>
    <cellStyle name="Currency 5 2 6 6 3" xfId="10949" xr:uid="{17DD72D3-0DA7-45F1-9E45-56555A633C2A}"/>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1" xr:uid="{9E2A7C8B-F5BE-424B-9D31-0678C8FB4160}"/>
    <cellStyle name="Currency 5 2 6 8 3" xfId="11266" xr:uid="{7730E0DE-4F62-4DC2-86AE-BA3A91C55BD9}"/>
    <cellStyle name="Currency 5 2 6 9" xfId="4651" xr:uid="{00000000-0005-0000-0000-00007E0C0000}"/>
    <cellStyle name="Currency 5 2 6 9 2" xfId="13098" xr:uid="{986353B4-BEB6-441E-9ECC-5DFB0CB696DE}"/>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2" xr:uid="{39800E95-7048-4A43-99FC-1FEED27BC38F}"/>
    <cellStyle name="Currency 5 3 2 10 3" xfId="11267" xr:uid="{F5F5BDFE-802A-4D71-BCC1-B173FA705A17}"/>
    <cellStyle name="Currency 5 3 2 11" xfId="4652" xr:uid="{00000000-0005-0000-0000-0000840C0000}"/>
    <cellStyle name="Currency 5 3 2 11 2" xfId="13099" xr:uid="{247FD090-C19C-4624-9CF8-FACDC4FD1070}"/>
    <cellStyle name="Currency 5 3 2 12" xfId="8884" xr:uid="{182BE254-5D98-478F-9319-CB8ED968AA67}"/>
    <cellStyle name="Currency 5 3 2 2" xfId="211" xr:uid="{00000000-0005-0000-0000-0000850C0000}"/>
    <cellStyle name="Currency 5 3 2 2 10" xfId="4653" xr:uid="{00000000-0005-0000-0000-0000860C0000}"/>
    <cellStyle name="Currency 5 3 2 2 10 2" xfId="13100" xr:uid="{085B96AD-AD42-4B1B-B100-4836005E62B6}"/>
    <cellStyle name="Currency 5 3 2 2 11" xfId="8885" xr:uid="{38D85EFF-82DB-4791-886C-3CA49D151317}"/>
    <cellStyle name="Currency 5 3 2 2 2" xfId="212" xr:uid="{00000000-0005-0000-0000-0000870C0000}"/>
    <cellStyle name="Currency 5 3 2 2 2 10" xfId="8886" xr:uid="{9F93AB64-4134-4853-A807-1B4844F1892D}"/>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0" xr:uid="{919D4E13-541F-4497-A195-F08F46A258CB}"/>
    <cellStyle name="Currency 5 3 2 2 2 2 2 3" xfId="11445" xr:uid="{D6096AAA-AC5B-4DC5-B7E8-69BB9BA81C95}"/>
    <cellStyle name="Currency 5 3 2 2 2 2 3" xfId="5068" xr:uid="{00000000-0005-0000-0000-00008B0C0000}"/>
    <cellStyle name="Currency 5 3 2 2 2 2 3 2" xfId="13515" xr:uid="{22F92135-3059-4568-90A2-F987EC7B4EAA}"/>
    <cellStyle name="Currency 5 3 2 2 2 2 4" xfId="9300" xr:uid="{B5D22D5C-48C2-4D41-A88B-62E604C16528}"/>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3" xr:uid="{3519155E-23F2-4C6E-AB30-C6A3B89B0F76}"/>
    <cellStyle name="Currency 5 3 2 2 2 3 2 3" xfId="11858" xr:uid="{103A5053-D6E6-4012-82FA-83C720EEEB87}"/>
    <cellStyle name="Currency 5 3 2 2 2 3 3" xfId="5481" xr:uid="{00000000-0005-0000-0000-00008F0C0000}"/>
    <cellStyle name="Currency 5 3 2 2 2 3 3 2" xfId="13928" xr:uid="{F4A9788A-580B-4017-BA76-9989EE4CFDFC}"/>
    <cellStyle name="Currency 5 3 2 2 2 3 4" xfId="9713" xr:uid="{296A03BF-FF9F-467F-9CF8-F7EAB6208179}"/>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6" xr:uid="{4D657680-A465-4BA5-AD08-24DAD87D7BAF}"/>
    <cellStyle name="Currency 5 3 2 2 2 4 2 3" xfId="12271" xr:uid="{2F6DECFD-0E06-46CA-A561-FD7E2F322C92}"/>
    <cellStyle name="Currency 5 3 2 2 2 4 3" xfId="5894" xr:uid="{00000000-0005-0000-0000-0000930C0000}"/>
    <cellStyle name="Currency 5 3 2 2 2 4 3 2" xfId="14341" xr:uid="{E0136093-8C0F-466E-B326-DFBDDF3D57D8}"/>
    <cellStyle name="Currency 5 3 2 2 2 4 4" xfId="10126" xr:uid="{4EDA52FD-4484-4D34-A59A-8EBDCDA2F61A}"/>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899" xr:uid="{DC3FB88D-A71B-429E-889D-EC2E2968D557}"/>
    <cellStyle name="Currency 5 3 2 2 2 5 2 3" xfId="12684" xr:uid="{718DC676-0EB1-4493-8FE8-905E92E7DB5B}"/>
    <cellStyle name="Currency 5 3 2 2 2 5 3" xfId="6307" xr:uid="{00000000-0005-0000-0000-0000970C0000}"/>
    <cellStyle name="Currency 5 3 2 2 2 5 3 2" xfId="14754" xr:uid="{BD9A3EB6-8C7E-45FC-861F-5B1C6807C464}"/>
    <cellStyle name="Currency 5 3 2 2 2 5 4" xfId="10539" xr:uid="{47AC508A-F547-4F60-9C87-264032AB9E5A}"/>
    <cellStyle name="Currency 5 3 2 2 2 6" xfId="2436" xr:uid="{00000000-0005-0000-0000-0000980C0000}"/>
    <cellStyle name="Currency 5 3 2 2 2 6 2" xfId="6720" xr:uid="{00000000-0005-0000-0000-0000990C0000}"/>
    <cellStyle name="Currency 5 3 2 2 2 6 2 2" xfId="15167" xr:uid="{A04A83D9-AB79-495F-9539-0AE9E3BAF1AB}"/>
    <cellStyle name="Currency 5 3 2 2 2 6 3" xfId="10952" xr:uid="{3E70F57A-1197-4609-A2E6-207D138E8BE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4" xr:uid="{549218F6-8C87-4D12-97C1-03829656F304}"/>
    <cellStyle name="Currency 5 3 2 2 2 8 3" xfId="11269" xr:uid="{282B39E2-B727-4930-8B5F-682D31B8C016}"/>
    <cellStyle name="Currency 5 3 2 2 2 9" xfId="4654" xr:uid="{00000000-0005-0000-0000-00009D0C0000}"/>
    <cellStyle name="Currency 5 3 2 2 2 9 2" xfId="13101" xr:uid="{A4169899-0703-43DC-83C3-8875FB170055}"/>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59" xr:uid="{EBEA795B-745A-45CC-9151-D1A1D9EBD7E0}"/>
    <cellStyle name="Currency 5 3 2 2 3 2 3" xfId="11444" xr:uid="{36876506-1B12-4C22-8DE4-071CC3CE62C1}"/>
    <cellStyle name="Currency 5 3 2 2 3 3" xfId="5067" xr:uid="{00000000-0005-0000-0000-0000A10C0000}"/>
    <cellStyle name="Currency 5 3 2 2 3 3 2" xfId="13514" xr:uid="{96366C66-F794-4231-ACB1-4EB8EF17BC63}"/>
    <cellStyle name="Currency 5 3 2 2 3 4" xfId="9299" xr:uid="{E32E78F9-E017-4DAE-A89F-F9BC2CFF7A6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2" xr:uid="{AAEE2461-B8E3-44DD-885A-D87E26E3C101}"/>
    <cellStyle name="Currency 5 3 2 2 4 2 3" xfId="11857" xr:uid="{CFF89C45-5357-4551-8218-417FD726BD59}"/>
    <cellStyle name="Currency 5 3 2 2 4 3" xfId="5480" xr:uid="{00000000-0005-0000-0000-0000A50C0000}"/>
    <cellStyle name="Currency 5 3 2 2 4 3 2" xfId="13927" xr:uid="{18307B3F-6226-4C01-851F-25E36742DD00}"/>
    <cellStyle name="Currency 5 3 2 2 4 4" xfId="9712" xr:uid="{F6624AA9-5157-4C31-8660-D4C08AFB6435}"/>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5" xr:uid="{06414387-C02B-4247-9110-B08E5E16C923}"/>
    <cellStyle name="Currency 5 3 2 2 5 2 3" xfId="12270" xr:uid="{A69880AA-827A-406D-B08A-9C8AD3E008E5}"/>
    <cellStyle name="Currency 5 3 2 2 5 3" xfId="5893" xr:uid="{00000000-0005-0000-0000-0000A90C0000}"/>
    <cellStyle name="Currency 5 3 2 2 5 3 2" xfId="14340" xr:uid="{17F0F89E-2E9F-451D-BBBA-30D8DE2FC49B}"/>
    <cellStyle name="Currency 5 3 2 2 5 4" xfId="10125" xr:uid="{43D6F09B-67D0-4A45-8F91-1AC84933EE47}"/>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898" xr:uid="{80F4FFDC-FE51-4AD7-AA88-D55313477BC4}"/>
    <cellStyle name="Currency 5 3 2 2 6 2 3" xfId="12683" xr:uid="{CD25A77A-75B6-4E9F-9AC1-1AC045AE00FE}"/>
    <cellStyle name="Currency 5 3 2 2 6 3" xfId="6306" xr:uid="{00000000-0005-0000-0000-0000AD0C0000}"/>
    <cellStyle name="Currency 5 3 2 2 6 3 2" xfId="14753" xr:uid="{0D37D9DD-4F05-4FFE-93C9-D28507A9B54C}"/>
    <cellStyle name="Currency 5 3 2 2 6 4" xfId="10538" xr:uid="{77BAE371-6394-4C6B-BD2E-E1FEA0554D0B}"/>
    <cellStyle name="Currency 5 3 2 2 7" xfId="2435" xr:uid="{00000000-0005-0000-0000-0000AE0C0000}"/>
    <cellStyle name="Currency 5 3 2 2 7 2" xfId="6719" xr:uid="{00000000-0005-0000-0000-0000AF0C0000}"/>
    <cellStyle name="Currency 5 3 2 2 7 2 2" xfId="15166" xr:uid="{3CA783F0-0150-4789-9AAF-056DC5242BA7}"/>
    <cellStyle name="Currency 5 3 2 2 7 3" xfId="10951" xr:uid="{5EE5E747-1942-416F-90A6-E952AAD2CF62}"/>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3" xr:uid="{FFECA13D-3510-4AD1-9B13-994D560D0309}"/>
    <cellStyle name="Currency 5 3 2 2 9 3" xfId="11268" xr:uid="{D735D0C9-7334-4441-B5DA-8B820A2E3850}"/>
    <cellStyle name="Currency 5 3 2 3" xfId="213" xr:uid="{00000000-0005-0000-0000-0000B30C0000}"/>
    <cellStyle name="Currency 5 3 2 3 10" xfId="8887" xr:uid="{24350661-E1D6-4E4C-94CF-2CD5ECF33F0E}"/>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1" xr:uid="{870E5F16-8F0B-4953-A9B6-F2098496C7F6}"/>
    <cellStyle name="Currency 5 3 2 3 2 2 3" xfId="11446" xr:uid="{5574392D-94E0-4785-8EAC-EC497A9FA3C5}"/>
    <cellStyle name="Currency 5 3 2 3 2 3" xfId="5069" xr:uid="{00000000-0005-0000-0000-0000B70C0000}"/>
    <cellStyle name="Currency 5 3 2 3 2 3 2" xfId="13516" xr:uid="{E6D4E4F7-9779-42A6-873B-00E27A6E72A3}"/>
    <cellStyle name="Currency 5 3 2 3 2 4" xfId="9301" xr:uid="{D69B492D-0C36-4715-9327-171CEADBF0A1}"/>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4" xr:uid="{84C8361F-D668-4529-9E83-9E9E2E15B671}"/>
    <cellStyle name="Currency 5 3 2 3 3 2 3" xfId="11859" xr:uid="{4B2D65D0-958D-4836-924E-E434E66700D3}"/>
    <cellStyle name="Currency 5 3 2 3 3 3" xfId="5482" xr:uid="{00000000-0005-0000-0000-0000BB0C0000}"/>
    <cellStyle name="Currency 5 3 2 3 3 3 2" xfId="13929" xr:uid="{ADC1A333-30DD-4448-B4A7-5699938D4F2F}"/>
    <cellStyle name="Currency 5 3 2 3 3 4" xfId="9714" xr:uid="{059071BB-C7D5-4154-AE36-E4194587980A}"/>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87" xr:uid="{240C1146-2D3F-468A-881B-856421B4054C}"/>
    <cellStyle name="Currency 5 3 2 3 4 2 3" xfId="12272" xr:uid="{25227E31-1BD5-4A1C-BAC1-0B6705D5C70E}"/>
    <cellStyle name="Currency 5 3 2 3 4 3" xfId="5895" xr:uid="{00000000-0005-0000-0000-0000BF0C0000}"/>
    <cellStyle name="Currency 5 3 2 3 4 3 2" xfId="14342" xr:uid="{D17288A4-7EE0-4507-8B79-58235461A188}"/>
    <cellStyle name="Currency 5 3 2 3 4 4" xfId="10127" xr:uid="{21555684-AEA1-4DD0-B8AB-EC0DA8DE1ED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0" xr:uid="{AA772FF8-C12A-4222-A0C2-A97978245E09}"/>
    <cellStyle name="Currency 5 3 2 3 5 2 3" xfId="12685" xr:uid="{149C3468-B68B-4BBD-A1BB-54383AE9BAB3}"/>
    <cellStyle name="Currency 5 3 2 3 5 3" xfId="6308" xr:uid="{00000000-0005-0000-0000-0000C30C0000}"/>
    <cellStyle name="Currency 5 3 2 3 5 3 2" xfId="14755" xr:uid="{52C95CB6-0293-4D53-95DE-6621A94AD65E}"/>
    <cellStyle name="Currency 5 3 2 3 5 4" xfId="10540" xr:uid="{4F47B74A-76B2-497C-97DF-5B819D7A3D5E}"/>
    <cellStyle name="Currency 5 3 2 3 6" xfId="2437" xr:uid="{00000000-0005-0000-0000-0000C40C0000}"/>
    <cellStyle name="Currency 5 3 2 3 6 2" xfId="6721" xr:uid="{00000000-0005-0000-0000-0000C50C0000}"/>
    <cellStyle name="Currency 5 3 2 3 6 2 2" xfId="15168" xr:uid="{28A4861F-4A2F-4C44-821E-0195C4351EFC}"/>
    <cellStyle name="Currency 5 3 2 3 6 3" xfId="10953" xr:uid="{36CEBF03-CECD-4D8F-A691-59EDB79E5ED6}"/>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5" xr:uid="{06CAD7D7-7E2C-482A-A040-F749074C9A96}"/>
    <cellStyle name="Currency 5 3 2 3 8 3" xfId="11270" xr:uid="{237ABF2B-CEA6-49A6-A55C-E5F8FCFF3E00}"/>
    <cellStyle name="Currency 5 3 2 3 9" xfId="4655" xr:uid="{00000000-0005-0000-0000-0000C90C0000}"/>
    <cellStyle name="Currency 5 3 2 3 9 2" xfId="13102" xr:uid="{465C68F2-1D2F-44D8-BC84-BDC4E70ED46C}"/>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58" xr:uid="{78B658B1-38A0-495A-9B3D-F78B74A9F467}"/>
    <cellStyle name="Currency 5 3 2 4 2 3" xfId="11443" xr:uid="{FFEE931E-625E-4FB6-A963-40C205F3550F}"/>
    <cellStyle name="Currency 5 3 2 4 3" xfId="5066" xr:uid="{00000000-0005-0000-0000-0000CD0C0000}"/>
    <cellStyle name="Currency 5 3 2 4 3 2" xfId="13513" xr:uid="{2A6EEA07-F91E-46D1-8BC4-7064AD9C5915}"/>
    <cellStyle name="Currency 5 3 2 4 4" xfId="9298" xr:uid="{D707ED92-70A4-4DB2-82AC-C6949DB22006}"/>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1" xr:uid="{29E65C8D-88EA-41A5-8FAD-5C93B92E91EC}"/>
    <cellStyle name="Currency 5 3 2 5 2 3" xfId="11856" xr:uid="{3FA962F8-3A87-48FF-B5A8-434CE224EFAE}"/>
    <cellStyle name="Currency 5 3 2 5 3" xfId="5479" xr:uid="{00000000-0005-0000-0000-0000D10C0000}"/>
    <cellStyle name="Currency 5 3 2 5 3 2" xfId="13926" xr:uid="{CE9042DA-027D-4212-AF6A-A44B72A0398E}"/>
    <cellStyle name="Currency 5 3 2 5 4" xfId="9711" xr:uid="{6ECFCAF1-17D8-4278-B4A9-657154C47AC7}"/>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4" xr:uid="{0A66081B-F9F3-4746-AC50-ADF52209C87C}"/>
    <cellStyle name="Currency 5 3 2 6 2 3" xfId="12269" xr:uid="{D0F291C7-8CAF-4D41-A683-71571C165A98}"/>
    <cellStyle name="Currency 5 3 2 6 3" xfId="5892" xr:uid="{00000000-0005-0000-0000-0000D50C0000}"/>
    <cellStyle name="Currency 5 3 2 6 3 2" xfId="14339" xr:uid="{B21967F8-C863-4826-8872-414A7677CF69}"/>
    <cellStyle name="Currency 5 3 2 6 4" xfId="10124" xr:uid="{9F654FBB-75B9-4964-BFA3-A1281CE3D8A4}"/>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897" xr:uid="{E33FA832-7717-4323-9DDF-2297D8A19B01}"/>
    <cellStyle name="Currency 5 3 2 7 2 3" xfId="12682" xr:uid="{63D75DC2-3AF6-4D52-8C0A-E3CC94BD9D98}"/>
    <cellStyle name="Currency 5 3 2 7 3" xfId="6305" xr:uid="{00000000-0005-0000-0000-0000D90C0000}"/>
    <cellStyle name="Currency 5 3 2 7 3 2" xfId="14752" xr:uid="{3FB70D52-DAEB-49F7-8B59-AF253AFE3B76}"/>
    <cellStyle name="Currency 5 3 2 7 4" xfId="10537" xr:uid="{F191C5BB-0F46-460C-A795-8C27228280D9}"/>
    <cellStyle name="Currency 5 3 2 8" xfId="2434" xr:uid="{00000000-0005-0000-0000-0000DA0C0000}"/>
    <cellStyle name="Currency 5 3 2 8 2" xfId="6718" xr:uid="{00000000-0005-0000-0000-0000DB0C0000}"/>
    <cellStyle name="Currency 5 3 2 8 2 2" xfId="15165" xr:uid="{D0EFB51F-8FF2-4A45-8D01-051B17F2DCF4}"/>
    <cellStyle name="Currency 5 3 2 8 3" xfId="10950" xr:uid="{D347B63D-D229-4CDD-9FAE-0F21026106D1}"/>
    <cellStyle name="Currency 5 3 2 9" xfId="2731" xr:uid="{00000000-0005-0000-0000-0000DC0C0000}"/>
    <cellStyle name="Currency 5 3 3" xfId="214" xr:uid="{00000000-0005-0000-0000-0000DD0C0000}"/>
    <cellStyle name="Currency 5 3 3 10" xfId="4656" xr:uid="{00000000-0005-0000-0000-0000DE0C0000}"/>
    <cellStyle name="Currency 5 3 3 10 2" xfId="13103" xr:uid="{E13AC279-034D-4EAC-B0C2-DF52B419CB59}"/>
    <cellStyle name="Currency 5 3 3 11" xfId="8888" xr:uid="{275BB971-A7A0-4961-BC5F-CA7CC66E5370}"/>
    <cellStyle name="Currency 5 3 3 2" xfId="215" xr:uid="{00000000-0005-0000-0000-0000DF0C0000}"/>
    <cellStyle name="Currency 5 3 3 2 10" xfId="8889" xr:uid="{89B4207C-CE86-4269-886A-26FBB9EE48A8}"/>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3" xr:uid="{CF35E72D-3FB7-49A2-8F31-6E7560D6D98D}"/>
    <cellStyle name="Currency 5 3 3 2 2 2 3" xfId="11448" xr:uid="{474B9FEF-3556-443C-862A-35FB3515EB6D}"/>
    <cellStyle name="Currency 5 3 3 2 2 3" xfId="5071" xr:uid="{00000000-0005-0000-0000-0000E30C0000}"/>
    <cellStyle name="Currency 5 3 3 2 2 3 2" xfId="13518" xr:uid="{42371F15-50BC-4692-B3BA-979F2785EA0D}"/>
    <cellStyle name="Currency 5 3 3 2 2 4" xfId="9303" xr:uid="{BEBF7593-8FFD-4ACD-9380-8F22F2777A3D}"/>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6" xr:uid="{68692832-6BF9-4809-B2EE-94155E87CDA8}"/>
    <cellStyle name="Currency 5 3 3 2 3 2 3" xfId="11861" xr:uid="{FC58553A-5542-4041-9E7E-31EAB8DAE84C}"/>
    <cellStyle name="Currency 5 3 3 2 3 3" xfId="5484" xr:uid="{00000000-0005-0000-0000-0000E70C0000}"/>
    <cellStyle name="Currency 5 3 3 2 3 3 2" xfId="13931" xr:uid="{9C42A5D4-1B00-4468-BE2B-7CD2E006C15B}"/>
    <cellStyle name="Currency 5 3 3 2 3 4" xfId="9716" xr:uid="{0722D9E8-C372-4EAD-9B34-323F11C6EA3E}"/>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89" xr:uid="{E6FC17AC-7AB7-4A61-A70C-8274303ADE91}"/>
    <cellStyle name="Currency 5 3 3 2 4 2 3" xfId="12274" xr:uid="{77B4238E-E192-42DF-9A15-8D4AC91B4949}"/>
    <cellStyle name="Currency 5 3 3 2 4 3" xfId="5897" xr:uid="{00000000-0005-0000-0000-0000EB0C0000}"/>
    <cellStyle name="Currency 5 3 3 2 4 3 2" xfId="14344" xr:uid="{85BAFB64-4A1C-48AA-B705-10B8C2FAEE18}"/>
    <cellStyle name="Currency 5 3 3 2 4 4" xfId="10129" xr:uid="{C421AFAE-0DC1-40E3-A192-32AD8E1C0002}"/>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2" xr:uid="{ABDEBBFE-9DCF-4BDF-8D82-1D3E67B22442}"/>
    <cellStyle name="Currency 5 3 3 2 5 2 3" xfId="12687" xr:uid="{2B323622-8E6D-4B0F-BE24-38A203F8D926}"/>
    <cellStyle name="Currency 5 3 3 2 5 3" xfId="6310" xr:uid="{00000000-0005-0000-0000-0000EF0C0000}"/>
    <cellStyle name="Currency 5 3 3 2 5 3 2" xfId="14757" xr:uid="{D3AD6CDC-779E-4898-B307-2E373A879F2D}"/>
    <cellStyle name="Currency 5 3 3 2 5 4" xfId="10542" xr:uid="{ECAB22ED-7790-4E0F-A0EC-C1D945238AE8}"/>
    <cellStyle name="Currency 5 3 3 2 6" xfId="2439" xr:uid="{00000000-0005-0000-0000-0000F00C0000}"/>
    <cellStyle name="Currency 5 3 3 2 6 2" xfId="6723" xr:uid="{00000000-0005-0000-0000-0000F10C0000}"/>
    <cellStyle name="Currency 5 3 3 2 6 2 2" xfId="15170" xr:uid="{DB908496-2DA0-472B-8E51-E080327CD1BC}"/>
    <cellStyle name="Currency 5 3 3 2 6 3" xfId="10955" xr:uid="{763C111C-57BD-4C77-B590-4EE7B9B4ED29}"/>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87" xr:uid="{15FF4896-18E3-48C7-B07F-6A4EA50D5B48}"/>
    <cellStyle name="Currency 5 3 3 2 8 3" xfId="11272" xr:uid="{71694875-3C26-40E8-A1B2-78E9DB161A37}"/>
    <cellStyle name="Currency 5 3 3 2 9" xfId="4657" xr:uid="{00000000-0005-0000-0000-0000F50C0000}"/>
    <cellStyle name="Currency 5 3 3 2 9 2" xfId="13104" xr:uid="{C3A0C2A8-13F3-4EA4-BAB5-81B9658E4E70}"/>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2" xr:uid="{07DC4E9D-92F0-42A2-BF8D-C15E500CAA56}"/>
    <cellStyle name="Currency 5 3 3 3 2 3" xfId="11447" xr:uid="{DA0AF925-764B-40AB-A22C-606326FC8214}"/>
    <cellStyle name="Currency 5 3 3 3 3" xfId="5070" xr:uid="{00000000-0005-0000-0000-0000F90C0000}"/>
    <cellStyle name="Currency 5 3 3 3 3 2" xfId="13517" xr:uid="{594F70F8-6231-4996-AF44-AC40EF6B2618}"/>
    <cellStyle name="Currency 5 3 3 3 4" xfId="9302" xr:uid="{52035701-1E02-43AB-9D1A-AAE8B585BC44}"/>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5" xr:uid="{1A6315B3-914B-48C5-90B3-04C1E8E3E651}"/>
    <cellStyle name="Currency 5 3 3 4 2 3" xfId="11860" xr:uid="{9FC9F271-0886-4A45-B453-380FECA26DAE}"/>
    <cellStyle name="Currency 5 3 3 4 3" xfId="5483" xr:uid="{00000000-0005-0000-0000-0000FD0C0000}"/>
    <cellStyle name="Currency 5 3 3 4 3 2" xfId="13930" xr:uid="{6E933B08-C745-49E5-88E2-B2E9050FDB41}"/>
    <cellStyle name="Currency 5 3 3 4 4" xfId="9715" xr:uid="{535FB329-B803-4365-A2B5-01E013723BFE}"/>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88" xr:uid="{60596ADB-0D98-4706-B1D8-E21DB0EAFB1E}"/>
    <cellStyle name="Currency 5 3 3 5 2 3" xfId="12273" xr:uid="{7F5F9D85-93E2-4F95-97F8-B6B8D8CDF9D4}"/>
    <cellStyle name="Currency 5 3 3 5 3" xfId="5896" xr:uid="{00000000-0005-0000-0000-0000010D0000}"/>
    <cellStyle name="Currency 5 3 3 5 3 2" xfId="14343" xr:uid="{A2D8BCEE-13CA-469B-B4C2-538E7A495230}"/>
    <cellStyle name="Currency 5 3 3 5 4" xfId="10128" xr:uid="{4C57B06C-967A-4F43-939A-195A06F05953}"/>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1" xr:uid="{4F1ED032-CA82-4581-91E0-21288982548B}"/>
    <cellStyle name="Currency 5 3 3 6 2 3" xfId="12686" xr:uid="{FC1FE8E8-C780-4EEC-BBD5-64204AA9AB00}"/>
    <cellStyle name="Currency 5 3 3 6 3" xfId="6309" xr:uid="{00000000-0005-0000-0000-0000050D0000}"/>
    <cellStyle name="Currency 5 3 3 6 3 2" xfId="14756" xr:uid="{3ED0DA3D-83EF-42CC-AC01-E75A1CC31671}"/>
    <cellStyle name="Currency 5 3 3 6 4" xfId="10541" xr:uid="{730C9409-27D0-4FCB-A09E-5C254F172410}"/>
    <cellStyle name="Currency 5 3 3 7" xfId="2438" xr:uid="{00000000-0005-0000-0000-0000060D0000}"/>
    <cellStyle name="Currency 5 3 3 7 2" xfId="6722" xr:uid="{00000000-0005-0000-0000-0000070D0000}"/>
    <cellStyle name="Currency 5 3 3 7 2 2" xfId="15169" xr:uid="{B3522C79-3EA9-449F-943A-3C07E6D74541}"/>
    <cellStyle name="Currency 5 3 3 7 3" xfId="10954" xr:uid="{965CD9CE-44C1-410C-A280-28E2B980DC2A}"/>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6" xr:uid="{502E85EF-5BCA-4605-827B-16B81BFB9A20}"/>
    <cellStyle name="Currency 5 3 3 9 3" xfId="11271" xr:uid="{310B4795-5528-40E7-BD47-4047FE98D2E5}"/>
    <cellStyle name="Currency 5 3 4" xfId="216" xr:uid="{00000000-0005-0000-0000-00000B0D0000}"/>
    <cellStyle name="Currency 5 3 4 10" xfId="8890" xr:uid="{D0A7FC39-C87C-49A0-8AEB-212E753A47FA}"/>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4" xr:uid="{4C1CC447-F23E-4909-9D39-3767232DF9A0}"/>
    <cellStyle name="Currency 5 3 4 2 2 3" xfId="11449" xr:uid="{6C785743-7663-4C14-92D0-CC16A791C39E}"/>
    <cellStyle name="Currency 5 3 4 2 3" xfId="5072" xr:uid="{00000000-0005-0000-0000-00000F0D0000}"/>
    <cellStyle name="Currency 5 3 4 2 3 2" xfId="13519" xr:uid="{4FD42102-B497-4102-9269-2D324FA2F9A8}"/>
    <cellStyle name="Currency 5 3 4 2 4" xfId="9304" xr:uid="{21351B84-CF5C-48BF-9831-163D2E4A6508}"/>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77" xr:uid="{18BB2D2F-BEAF-4540-BB3B-BE7FCE4ACC6F}"/>
    <cellStyle name="Currency 5 3 4 3 2 3" xfId="11862" xr:uid="{4F3F5758-CA1F-4056-A7C8-C4271367DE7F}"/>
    <cellStyle name="Currency 5 3 4 3 3" xfId="5485" xr:uid="{00000000-0005-0000-0000-0000130D0000}"/>
    <cellStyle name="Currency 5 3 4 3 3 2" xfId="13932" xr:uid="{4FAFB722-C9F3-49AC-A3F2-49922629A302}"/>
    <cellStyle name="Currency 5 3 4 3 4" xfId="9717" xr:uid="{FD3162D7-C802-406D-B390-E930054ECEF1}"/>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0" xr:uid="{F02C6BC9-28A4-4F19-97DF-26958271446D}"/>
    <cellStyle name="Currency 5 3 4 4 2 3" xfId="12275" xr:uid="{9A42385B-DBC9-40FD-BAB7-7E2AE231246D}"/>
    <cellStyle name="Currency 5 3 4 4 3" xfId="5898" xr:uid="{00000000-0005-0000-0000-0000170D0000}"/>
    <cellStyle name="Currency 5 3 4 4 3 2" xfId="14345" xr:uid="{0B91D366-4CD8-405A-AFEB-501C247C0CF2}"/>
    <cellStyle name="Currency 5 3 4 4 4" xfId="10130" xr:uid="{2DA92D51-758E-4399-B1A1-873150A806C3}"/>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3" xr:uid="{2D1B4776-A31B-4853-A6D0-23BA468DF314}"/>
    <cellStyle name="Currency 5 3 4 5 2 3" xfId="12688" xr:uid="{921BE539-0117-4B86-9A70-432B7CB4366F}"/>
    <cellStyle name="Currency 5 3 4 5 3" xfId="6311" xr:uid="{00000000-0005-0000-0000-00001B0D0000}"/>
    <cellStyle name="Currency 5 3 4 5 3 2" xfId="14758" xr:uid="{2D48686A-B3B4-4108-9433-8DAFC047851D}"/>
    <cellStyle name="Currency 5 3 4 5 4" xfId="10543" xr:uid="{7BF579F1-BA23-4123-8EC3-0E70394F4108}"/>
    <cellStyle name="Currency 5 3 4 6" xfId="2440" xr:uid="{00000000-0005-0000-0000-00001C0D0000}"/>
    <cellStyle name="Currency 5 3 4 6 2" xfId="6724" xr:uid="{00000000-0005-0000-0000-00001D0D0000}"/>
    <cellStyle name="Currency 5 3 4 6 2 2" xfId="15171" xr:uid="{74FC5B30-4602-41A3-AA44-70B47EC2DF3A}"/>
    <cellStyle name="Currency 5 3 4 6 3" xfId="10956" xr:uid="{62C972CC-ABC6-4043-8CFA-BD39D95FDDE0}"/>
    <cellStyle name="Currency 5 3 4 7" xfId="2737" xr:uid="{00000000-0005-0000-0000-00001E0D0000}"/>
    <cellStyle name="Currency 5 3 4 8" xfId="2818" xr:uid="{00000000-0005-0000-0000-00001F0D0000}"/>
    <cellStyle name="Currency 5 3 4 8 2" xfId="7041" xr:uid="{00000000-0005-0000-0000-0000200D0000}"/>
    <cellStyle name="Currency 5 3 4 8 2 2" xfId="15488" xr:uid="{1E396E2C-0A5A-4305-BA43-E83A3911C4FC}"/>
    <cellStyle name="Currency 5 3 4 8 3" xfId="11273" xr:uid="{CB30404F-D2F0-4952-8CE9-400865F25420}"/>
    <cellStyle name="Currency 5 3 4 9" xfId="4658" xr:uid="{00000000-0005-0000-0000-0000210D0000}"/>
    <cellStyle name="Currency 5 3 4 9 2" xfId="13105" xr:uid="{8AE1CB3A-200A-4CDC-B2E7-93D4C03EFBE9}"/>
    <cellStyle name="Currency 5 3 5" xfId="217" xr:uid="{00000000-0005-0000-0000-0000220D0000}"/>
    <cellStyle name="Currency 5 3 5 10" xfId="8891" xr:uid="{9FF3CE67-E408-460A-A66E-37B18B9E976D}"/>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5" xr:uid="{BB8B5003-C2D0-4FEB-BC3C-76DFB59085AE}"/>
    <cellStyle name="Currency 5 3 5 2 2 3" xfId="11450" xr:uid="{FE849262-5945-447F-A016-15142F6DCB6D}"/>
    <cellStyle name="Currency 5 3 5 2 3" xfId="5073" xr:uid="{00000000-0005-0000-0000-0000260D0000}"/>
    <cellStyle name="Currency 5 3 5 2 3 2" xfId="13520" xr:uid="{5BBCC285-A120-410C-AC56-7CFC3AA89526}"/>
    <cellStyle name="Currency 5 3 5 2 4" xfId="9305" xr:uid="{FEBEE80E-4782-4F48-900C-F3F86DBDAF96}"/>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78" xr:uid="{51952218-40D5-46D7-946C-A19F76ECFD4D}"/>
    <cellStyle name="Currency 5 3 5 3 2 3" xfId="11863" xr:uid="{25BFF88F-A504-4118-8777-96CB5D57D582}"/>
    <cellStyle name="Currency 5 3 5 3 3" xfId="5486" xr:uid="{00000000-0005-0000-0000-00002A0D0000}"/>
    <cellStyle name="Currency 5 3 5 3 3 2" xfId="13933" xr:uid="{C8B6FD61-AF72-47E2-9946-D8C183F658D4}"/>
    <cellStyle name="Currency 5 3 5 3 4" xfId="9718" xr:uid="{24D2E05A-8A68-4216-9A53-28AC54C1444D}"/>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1" xr:uid="{5BAA2486-3CF5-49BA-9F7E-D43303F0023F}"/>
    <cellStyle name="Currency 5 3 5 4 2 3" xfId="12276" xr:uid="{3B331FD3-9052-4EEC-A6EE-7D28E2B8BFF1}"/>
    <cellStyle name="Currency 5 3 5 4 3" xfId="5899" xr:uid="{00000000-0005-0000-0000-00002E0D0000}"/>
    <cellStyle name="Currency 5 3 5 4 3 2" xfId="14346" xr:uid="{A7B5DED6-57D5-4DF7-8D19-2C82DDF8BC15}"/>
    <cellStyle name="Currency 5 3 5 4 4" xfId="10131" xr:uid="{165CE089-AE19-4CA7-9C12-722BB6D47356}"/>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4" xr:uid="{C0A5E0D9-AFD4-4016-9C34-03CDED14F9BA}"/>
    <cellStyle name="Currency 5 3 5 5 2 3" xfId="12689" xr:uid="{2CCB359B-F9C8-4A63-9CE9-A7B727088201}"/>
    <cellStyle name="Currency 5 3 5 5 3" xfId="6312" xr:uid="{00000000-0005-0000-0000-0000320D0000}"/>
    <cellStyle name="Currency 5 3 5 5 3 2" xfId="14759" xr:uid="{E3374435-CE6A-48DF-91A2-7B59A1F349E0}"/>
    <cellStyle name="Currency 5 3 5 5 4" xfId="10544" xr:uid="{6D546E81-AEE9-445A-B842-3D61F5367945}"/>
    <cellStyle name="Currency 5 3 5 6" xfId="2441" xr:uid="{00000000-0005-0000-0000-0000330D0000}"/>
    <cellStyle name="Currency 5 3 5 6 2" xfId="6725" xr:uid="{00000000-0005-0000-0000-0000340D0000}"/>
    <cellStyle name="Currency 5 3 5 6 2 2" xfId="15172" xr:uid="{063D2720-20DF-46C1-ADB0-16C5E6E8FF78}"/>
    <cellStyle name="Currency 5 3 5 6 3" xfId="10957" xr:uid="{3B3B29ED-8E6A-4E12-94D0-03F2CF666615}"/>
    <cellStyle name="Currency 5 3 5 7" xfId="2738" xr:uid="{00000000-0005-0000-0000-0000350D0000}"/>
    <cellStyle name="Currency 5 3 5 8" xfId="2819" xr:uid="{00000000-0005-0000-0000-0000360D0000}"/>
    <cellStyle name="Currency 5 3 5 8 2" xfId="7042" xr:uid="{00000000-0005-0000-0000-0000370D0000}"/>
    <cellStyle name="Currency 5 3 5 8 2 2" xfId="15489" xr:uid="{E7A94934-44D4-4AFE-A90B-B1F71F489239}"/>
    <cellStyle name="Currency 5 3 5 8 3" xfId="11274" xr:uid="{800ACD09-D027-4233-B090-190AA4741D16}"/>
    <cellStyle name="Currency 5 3 5 9" xfId="4659" xr:uid="{00000000-0005-0000-0000-0000380D0000}"/>
    <cellStyle name="Currency 5 3 5 9 2" xfId="13106" xr:uid="{EA1426B7-2637-4AC2-8C8F-6649BF065722}"/>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07" xr:uid="{8ECFF397-724D-4C86-B09C-F3CD2199849A}"/>
    <cellStyle name="Currency 5 5 11" xfId="8892" xr:uid="{3448BE58-E6D5-4726-A7D6-D066AA7F0C42}"/>
    <cellStyle name="Currency 5 5 2" xfId="220" xr:uid="{00000000-0005-0000-0000-00003D0D0000}"/>
    <cellStyle name="Currency 5 5 2 10" xfId="8893" xr:uid="{84ED2241-3C38-4179-A6A7-EF8CAC2EBA0F}"/>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67" xr:uid="{7B4B1417-2421-4058-B07A-8C86E3959685}"/>
    <cellStyle name="Currency 5 5 2 2 2 3" xfId="11452" xr:uid="{02CCEC2D-93AA-4A5C-AF84-93D84592FE21}"/>
    <cellStyle name="Currency 5 5 2 2 3" xfId="5075" xr:uid="{00000000-0005-0000-0000-0000410D0000}"/>
    <cellStyle name="Currency 5 5 2 2 3 2" xfId="13522" xr:uid="{1EA1C3F4-CFD5-42DF-B6ED-0D84BC299259}"/>
    <cellStyle name="Currency 5 5 2 2 4" xfId="9307" xr:uid="{286EDD88-42B0-42EE-B74F-A6753A2DD8F1}"/>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0" xr:uid="{DA39D5D2-B9F2-4AA5-9281-EE6338BD2CE2}"/>
    <cellStyle name="Currency 5 5 2 3 2 3" xfId="11865" xr:uid="{66A7B0B7-70F0-4C3D-BA71-31C6183F206B}"/>
    <cellStyle name="Currency 5 5 2 3 3" xfId="5488" xr:uid="{00000000-0005-0000-0000-0000450D0000}"/>
    <cellStyle name="Currency 5 5 2 3 3 2" xfId="13935" xr:uid="{6046CA29-7D59-4474-A9D2-27E71EF7DCEA}"/>
    <cellStyle name="Currency 5 5 2 3 4" xfId="9720" xr:uid="{59E51D03-CD74-47B8-B25F-FB3413434599}"/>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3" xr:uid="{A2CF3305-2675-4B92-980C-A3906A81B62A}"/>
    <cellStyle name="Currency 5 5 2 4 2 3" xfId="12278" xr:uid="{DCD30CA0-7B88-4788-B170-7E65EFF9B053}"/>
    <cellStyle name="Currency 5 5 2 4 3" xfId="5901" xr:uid="{00000000-0005-0000-0000-0000490D0000}"/>
    <cellStyle name="Currency 5 5 2 4 3 2" xfId="14348" xr:uid="{6D8705B8-007B-4AD4-B9BD-1272D6B31444}"/>
    <cellStyle name="Currency 5 5 2 4 4" xfId="10133" xr:uid="{8A2D866C-71CE-4721-9257-B7DDC9081C10}"/>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6" xr:uid="{27A035A0-30F4-4656-ADDB-522EB16061F6}"/>
    <cellStyle name="Currency 5 5 2 5 2 3" xfId="12691" xr:uid="{31ED3431-D29F-402D-B4DA-F1180FCE7E00}"/>
    <cellStyle name="Currency 5 5 2 5 3" xfId="6314" xr:uid="{00000000-0005-0000-0000-00004D0D0000}"/>
    <cellStyle name="Currency 5 5 2 5 3 2" xfId="14761" xr:uid="{CDEFBD25-C853-4B38-BAC6-C41F64DAA0AB}"/>
    <cellStyle name="Currency 5 5 2 5 4" xfId="10546" xr:uid="{60DA2F8D-70E9-4E69-92F0-20B14EC69BAA}"/>
    <cellStyle name="Currency 5 5 2 6" xfId="2443" xr:uid="{00000000-0005-0000-0000-00004E0D0000}"/>
    <cellStyle name="Currency 5 5 2 6 2" xfId="6727" xr:uid="{00000000-0005-0000-0000-00004F0D0000}"/>
    <cellStyle name="Currency 5 5 2 6 2 2" xfId="15174" xr:uid="{C69F49C4-77CE-40E5-9DF6-8480122295B4}"/>
    <cellStyle name="Currency 5 5 2 6 3" xfId="10959" xr:uid="{0974A3DC-E6DA-429F-BCB4-A91ED68EB3D9}"/>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1" xr:uid="{D8D292DD-A1AD-45AF-9DC8-E7ADB91AD1D8}"/>
    <cellStyle name="Currency 5 5 2 8 3" xfId="11276" xr:uid="{D39D3858-4771-4571-BB18-5D0BB4E66113}"/>
    <cellStyle name="Currency 5 5 2 9" xfId="4661" xr:uid="{00000000-0005-0000-0000-0000530D0000}"/>
    <cellStyle name="Currency 5 5 2 9 2" xfId="13108" xr:uid="{0F185969-A8C0-4FAC-BD3F-F92B7C69B166}"/>
    <cellStyle name="Currency 5 5 3" xfId="745" xr:uid="{00000000-0005-0000-0000-0000540D0000}"/>
    <cellStyle name="Currency 5 5 3 2" xfId="2997" xr:uid="{00000000-0005-0000-0000-0000550D0000}"/>
    <cellStyle name="Currency 5 5 3 2 2" xfId="7219" xr:uid="{00000000-0005-0000-0000-0000560D0000}"/>
    <cellStyle name="Currency 5 5 3 2 2 2" xfId="15666" xr:uid="{31A96434-81CB-4DF5-B80D-833E2B509B16}"/>
    <cellStyle name="Currency 5 5 3 2 3" xfId="11451" xr:uid="{01BA46B9-5DD5-4A90-95E3-69DB09604C99}"/>
    <cellStyle name="Currency 5 5 3 3" xfId="5074" xr:uid="{00000000-0005-0000-0000-0000570D0000}"/>
    <cellStyle name="Currency 5 5 3 3 2" xfId="13521" xr:uid="{9B20118D-41DF-4A3F-9278-0BDED80A4587}"/>
    <cellStyle name="Currency 5 5 3 4" xfId="9306" xr:uid="{B029DE13-170B-4556-BC2A-10AFCE3BE9A9}"/>
    <cellStyle name="Currency 5 5 4" xfId="1179" xr:uid="{00000000-0005-0000-0000-0000580D0000}"/>
    <cellStyle name="Currency 5 5 4 2" xfId="3410" xr:uid="{00000000-0005-0000-0000-0000590D0000}"/>
    <cellStyle name="Currency 5 5 4 2 2" xfId="7632" xr:uid="{00000000-0005-0000-0000-00005A0D0000}"/>
    <cellStyle name="Currency 5 5 4 2 2 2" xfId="16079" xr:uid="{A3427C2F-7FEC-4741-8150-3D20BCEEC7E2}"/>
    <cellStyle name="Currency 5 5 4 2 3" xfId="11864" xr:uid="{1E3599DC-A163-404D-B2E9-D10E957EF2AB}"/>
    <cellStyle name="Currency 5 5 4 3" xfId="5487" xr:uid="{00000000-0005-0000-0000-00005B0D0000}"/>
    <cellStyle name="Currency 5 5 4 3 2" xfId="13934" xr:uid="{E66E68D4-960B-46C6-9DC3-677955B14B34}"/>
    <cellStyle name="Currency 5 5 4 4" xfId="9719" xr:uid="{BC06B710-921F-4EEF-87CF-404DE27BB56C}"/>
    <cellStyle name="Currency 5 5 5" xfId="1593" xr:uid="{00000000-0005-0000-0000-00005C0D0000}"/>
    <cellStyle name="Currency 5 5 5 2" xfId="3823" xr:uid="{00000000-0005-0000-0000-00005D0D0000}"/>
    <cellStyle name="Currency 5 5 5 2 2" xfId="8045" xr:uid="{00000000-0005-0000-0000-00005E0D0000}"/>
    <cellStyle name="Currency 5 5 5 2 2 2" xfId="16492" xr:uid="{7D17954E-D6D8-41E7-A525-F8DC2C06A578}"/>
    <cellStyle name="Currency 5 5 5 2 3" xfId="12277" xr:uid="{2C039CC9-5B4E-483B-91DC-BD143519F36F}"/>
    <cellStyle name="Currency 5 5 5 3" xfId="5900" xr:uid="{00000000-0005-0000-0000-00005F0D0000}"/>
    <cellStyle name="Currency 5 5 5 3 2" xfId="14347" xr:uid="{D4100BA7-93E0-46F6-9FDA-CBB060C3FDF1}"/>
    <cellStyle name="Currency 5 5 5 4" xfId="10132" xr:uid="{2D7E638B-AABC-47A0-AB3B-F179CED706C1}"/>
    <cellStyle name="Currency 5 5 6" xfId="2007" xr:uid="{00000000-0005-0000-0000-0000600D0000}"/>
    <cellStyle name="Currency 5 5 6 2" xfId="4236" xr:uid="{00000000-0005-0000-0000-0000610D0000}"/>
    <cellStyle name="Currency 5 5 6 2 2" xfId="8458" xr:uid="{00000000-0005-0000-0000-0000620D0000}"/>
    <cellStyle name="Currency 5 5 6 2 2 2" xfId="16905" xr:uid="{948F5F1D-81D4-40C7-965B-55E3F1511030}"/>
    <cellStyle name="Currency 5 5 6 2 3" xfId="12690" xr:uid="{CE478D70-2456-40F8-B717-7BC6920D53DA}"/>
    <cellStyle name="Currency 5 5 6 3" xfId="6313" xr:uid="{00000000-0005-0000-0000-0000630D0000}"/>
    <cellStyle name="Currency 5 5 6 3 2" xfId="14760" xr:uid="{AA41A881-6707-4197-B57D-ACB7D05F7D95}"/>
    <cellStyle name="Currency 5 5 6 4" xfId="10545" xr:uid="{F7BD75BD-354C-4D07-83CD-9A656EC236E8}"/>
    <cellStyle name="Currency 5 5 7" xfId="2442" xr:uid="{00000000-0005-0000-0000-0000640D0000}"/>
    <cellStyle name="Currency 5 5 7 2" xfId="6726" xr:uid="{00000000-0005-0000-0000-0000650D0000}"/>
    <cellStyle name="Currency 5 5 7 2 2" xfId="15173" xr:uid="{137049D9-0A0A-48C9-90A2-0F470A1BC2D5}"/>
    <cellStyle name="Currency 5 5 7 3" xfId="10958" xr:uid="{70EA5921-4842-4005-B64B-C6354582694F}"/>
    <cellStyle name="Currency 5 5 8" xfId="2739" xr:uid="{00000000-0005-0000-0000-0000660D0000}"/>
    <cellStyle name="Currency 5 5 9" xfId="2820" xr:uid="{00000000-0005-0000-0000-0000670D0000}"/>
    <cellStyle name="Currency 5 5 9 2" xfId="7043" xr:uid="{00000000-0005-0000-0000-0000680D0000}"/>
    <cellStyle name="Currency 5 5 9 2 2" xfId="15490" xr:uid="{C29A3057-A435-4BC6-B55F-5AB1D1DAF660}"/>
    <cellStyle name="Currency 5 5 9 3" xfId="11275" xr:uid="{345E3378-906D-4B1F-8161-84E68F3DC927}"/>
    <cellStyle name="Currency 5 6" xfId="221" xr:uid="{00000000-0005-0000-0000-0000690D0000}"/>
    <cellStyle name="Currency 5 6 10" xfId="8894" xr:uid="{78082949-D976-45DF-BC71-9821ED14CA0A}"/>
    <cellStyle name="Currency 5 6 2" xfId="747" xr:uid="{00000000-0005-0000-0000-00006A0D0000}"/>
    <cellStyle name="Currency 5 6 2 2" xfId="2999" xr:uid="{00000000-0005-0000-0000-00006B0D0000}"/>
    <cellStyle name="Currency 5 6 2 2 2" xfId="7221" xr:uid="{00000000-0005-0000-0000-00006C0D0000}"/>
    <cellStyle name="Currency 5 6 2 2 2 2" xfId="15668" xr:uid="{DBD41BC4-D655-4AFD-B7B5-363278CC961D}"/>
    <cellStyle name="Currency 5 6 2 2 3" xfId="11453" xr:uid="{4DF335B1-CF63-4470-A186-FAB01873FC93}"/>
    <cellStyle name="Currency 5 6 2 3" xfId="5076" xr:uid="{00000000-0005-0000-0000-00006D0D0000}"/>
    <cellStyle name="Currency 5 6 2 3 2" xfId="13523" xr:uid="{285417CC-1675-4EB5-B8B4-86E0003CD694}"/>
    <cellStyle name="Currency 5 6 2 4" xfId="9308" xr:uid="{B3C6C1E5-AFF6-4D2D-BBEC-45435617A495}"/>
    <cellStyle name="Currency 5 6 3" xfId="1181" xr:uid="{00000000-0005-0000-0000-00006E0D0000}"/>
    <cellStyle name="Currency 5 6 3 2" xfId="3412" xr:uid="{00000000-0005-0000-0000-00006F0D0000}"/>
    <cellStyle name="Currency 5 6 3 2 2" xfId="7634" xr:uid="{00000000-0005-0000-0000-0000700D0000}"/>
    <cellStyle name="Currency 5 6 3 2 2 2" xfId="16081" xr:uid="{D8070E7D-CE2A-4776-B7E3-26B266C0FD47}"/>
    <cellStyle name="Currency 5 6 3 2 3" xfId="11866" xr:uid="{AA5A6C37-847B-4DBA-BF7B-34110D3FA881}"/>
    <cellStyle name="Currency 5 6 3 3" xfId="5489" xr:uid="{00000000-0005-0000-0000-0000710D0000}"/>
    <cellStyle name="Currency 5 6 3 3 2" xfId="13936" xr:uid="{6B77AC3E-07A6-4C15-91BA-90342D93B57E}"/>
    <cellStyle name="Currency 5 6 3 4" xfId="9721" xr:uid="{245AFADD-A9D0-4C11-A938-58A02EECE08D}"/>
    <cellStyle name="Currency 5 6 4" xfId="1595" xr:uid="{00000000-0005-0000-0000-0000720D0000}"/>
    <cellStyle name="Currency 5 6 4 2" xfId="3825" xr:uid="{00000000-0005-0000-0000-0000730D0000}"/>
    <cellStyle name="Currency 5 6 4 2 2" xfId="8047" xr:uid="{00000000-0005-0000-0000-0000740D0000}"/>
    <cellStyle name="Currency 5 6 4 2 2 2" xfId="16494" xr:uid="{6DC4985B-4DB3-4DC9-AA6E-119CBC94F5E7}"/>
    <cellStyle name="Currency 5 6 4 2 3" xfId="12279" xr:uid="{C6DEEFDD-89ED-4AFD-904A-5FCE112F9534}"/>
    <cellStyle name="Currency 5 6 4 3" xfId="5902" xr:uid="{00000000-0005-0000-0000-0000750D0000}"/>
    <cellStyle name="Currency 5 6 4 3 2" xfId="14349" xr:uid="{D0535871-DCA3-4537-8FE8-6653C592F88A}"/>
    <cellStyle name="Currency 5 6 4 4" xfId="10134" xr:uid="{65A4A130-986B-4865-9614-88A93E8DEB2F}"/>
    <cellStyle name="Currency 5 6 5" xfId="2009" xr:uid="{00000000-0005-0000-0000-0000760D0000}"/>
    <cellStyle name="Currency 5 6 5 2" xfId="4238" xr:uid="{00000000-0005-0000-0000-0000770D0000}"/>
    <cellStyle name="Currency 5 6 5 2 2" xfId="8460" xr:uid="{00000000-0005-0000-0000-0000780D0000}"/>
    <cellStyle name="Currency 5 6 5 2 2 2" xfId="16907" xr:uid="{6F866AE6-070A-4B4D-A0AB-5DB1B1B2B076}"/>
    <cellStyle name="Currency 5 6 5 2 3" xfId="12692" xr:uid="{DB93DF52-07C9-4B34-90BD-9EF1CBA4E21F}"/>
    <cellStyle name="Currency 5 6 5 3" xfId="6315" xr:uid="{00000000-0005-0000-0000-0000790D0000}"/>
    <cellStyle name="Currency 5 6 5 3 2" xfId="14762" xr:uid="{1F6410E3-6E94-47ED-A1EF-C0AD9B99976B}"/>
    <cellStyle name="Currency 5 6 5 4" xfId="10547" xr:uid="{D1A3A87E-F75D-476D-9CFB-7BA86C97C366}"/>
    <cellStyle name="Currency 5 6 6" xfId="2444" xr:uid="{00000000-0005-0000-0000-00007A0D0000}"/>
    <cellStyle name="Currency 5 6 6 2" xfId="6728" xr:uid="{00000000-0005-0000-0000-00007B0D0000}"/>
    <cellStyle name="Currency 5 6 6 2 2" xfId="15175" xr:uid="{4909E8C8-30EE-4462-BEB8-FD0FADDB5972}"/>
    <cellStyle name="Currency 5 6 6 3" xfId="10960" xr:uid="{828E04A4-5C7E-4640-90E0-0F4926412A43}"/>
    <cellStyle name="Currency 5 6 7" xfId="2741" xr:uid="{00000000-0005-0000-0000-00007C0D0000}"/>
    <cellStyle name="Currency 5 6 8" xfId="2822" xr:uid="{00000000-0005-0000-0000-00007D0D0000}"/>
    <cellStyle name="Currency 5 6 8 2" xfId="7045" xr:uid="{00000000-0005-0000-0000-00007E0D0000}"/>
    <cellStyle name="Currency 5 6 8 2 2" xfId="15492" xr:uid="{5DFABD50-019C-4143-BCFB-4D177767BB25}"/>
    <cellStyle name="Currency 5 6 8 3" xfId="11277" xr:uid="{4B96365C-4675-44BA-A9DC-70F1BEFB7F5E}"/>
    <cellStyle name="Currency 5 6 9" xfId="4662" xr:uid="{00000000-0005-0000-0000-00007F0D0000}"/>
    <cellStyle name="Currency 5 6 9 2" xfId="13109" xr:uid="{44C71B8F-0537-4A86-AC0B-35DBF2817626}"/>
    <cellStyle name="Currency 5 7" xfId="222" xr:uid="{00000000-0005-0000-0000-0000800D0000}"/>
    <cellStyle name="Currency 5 7 10" xfId="8895" xr:uid="{58239E8A-FB0D-48A4-949E-CC6AE6C7FE5D}"/>
    <cellStyle name="Currency 5 7 2" xfId="748" xr:uid="{00000000-0005-0000-0000-0000810D0000}"/>
    <cellStyle name="Currency 5 7 2 2" xfId="3000" xr:uid="{00000000-0005-0000-0000-0000820D0000}"/>
    <cellStyle name="Currency 5 7 2 2 2" xfId="7222" xr:uid="{00000000-0005-0000-0000-0000830D0000}"/>
    <cellStyle name="Currency 5 7 2 2 2 2" xfId="15669" xr:uid="{B178AF1A-8559-4D2D-84AC-CD71EEAAE5F1}"/>
    <cellStyle name="Currency 5 7 2 2 3" xfId="11454" xr:uid="{A4E5A483-7388-412D-AFB8-582DBA3EE1E6}"/>
    <cellStyle name="Currency 5 7 2 3" xfId="5077" xr:uid="{00000000-0005-0000-0000-0000840D0000}"/>
    <cellStyle name="Currency 5 7 2 3 2" xfId="13524" xr:uid="{D925F59C-9811-44D1-9D07-EE6BEA46E884}"/>
    <cellStyle name="Currency 5 7 2 4" xfId="9309" xr:uid="{6C8275A6-5807-47F2-9886-8CD95DB0A4F9}"/>
    <cellStyle name="Currency 5 7 3" xfId="1182" xr:uid="{00000000-0005-0000-0000-0000850D0000}"/>
    <cellStyle name="Currency 5 7 3 2" xfId="3413" xr:uid="{00000000-0005-0000-0000-0000860D0000}"/>
    <cellStyle name="Currency 5 7 3 2 2" xfId="7635" xr:uid="{00000000-0005-0000-0000-0000870D0000}"/>
    <cellStyle name="Currency 5 7 3 2 2 2" xfId="16082" xr:uid="{697CD50F-1002-4641-B355-0743BF8FC30D}"/>
    <cellStyle name="Currency 5 7 3 2 3" xfId="11867" xr:uid="{166E1E90-EA26-435B-B2F1-0A95E012AB10}"/>
    <cellStyle name="Currency 5 7 3 3" xfId="5490" xr:uid="{00000000-0005-0000-0000-0000880D0000}"/>
    <cellStyle name="Currency 5 7 3 3 2" xfId="13937" xr:uid="{6A74E5C0-87FA-43E3-8F3B-24566AC54E93}"/>
    <cellStyle name="Currency 5 7 3 4" xfId="9722" xr:uid="{D549424C-362B-4B9A-9BA2-BB7003BA72A2}"/>
    <cellStyle name="Currency 5 7 4" xfId="1596" xr:uid="{00000000-0005-0000-0000-0000890D0000}"/>
    <cellStyle name="Currency 5 7 4 2" xfId="3826" xr:uid="{00000000-0005-0000-0000-00008A0D0000}"/>
    <cellStyle name="Currency 5 7 4 2 2" xfId="8048" xr:uid="{00000000-0005-0000-0000-00008B0D0000}"/>
    <cellStyle name="Currency 5 7 4 2 2 2" xfId="16495" xr:uid="{AF3455CE-9859-4990-AF78-CDF4534A29D4}"/>
    <cellStyle name="Currency 5 7 4 2 3" xfId="12280" xr:uid="{6CADA686-4B04-405F-8C31-CC19F1E77E1A}"/>
    <cellStyle name="Currency 5 7 4 3" xfId="5903" xr:uid="{00000000-0005-0000-0000-00008C0D0000}"/>
    <cellStyle name="Currency 5 7 4 3 2" xfId="14350" xr:uid="{B2E27A35-A524-4780-B46B-730631FBEA72}"/>
    <cellStyle name="Currency 5 7 4 4" xfId="10135" xr:uid="{B020A213-7F9E-4C29-92C9-EDCD037B6751}"/>
    <cellStyle name="Currency 5 7 5" xfId="2010" xr:uid="{00000000-0005-0000-0000-00008D0D0000}"/>
    <cellStyle name="Currency 5 7 5 2" xfId="4239" xr:uid="{00000000-0005-0000-0000-00008E0D0000}"/>
    <cellStyle name="Currency 5 7 5 2 2" xfId="8461" xr:uid="{00000000-0005-0000-0000-00008F0D0000}"/>
    <cellStyle name="Currency 5 7 5 2 2 2" xfId="16908" xr:uid="{8ED3A482-05A8-418F-AE35-4C674C82B7CE}"/>
    <cellStyle name="Currency 5 7 5 2 3" xfId="12693" xr:uid="{9D61CF1C-1F48-4492-9374-6BDC31C35073}"/>
    <cellStyle name="Currency 5 7 5 3" xfId="6316" xr:uid="{00000000-0005-0000-0000-0000900D0000}"/>
    <cellStyle name="Currency 5 7 5 3 2" xfId="14763" xr:uid="{EA42BE6D-C503-4FE6-8476-3951B62E658C}"/>
    <cellStyle name="Currency 5 7 5 4" xfId="10548" xr:uid="{26CA8130-0E4F-4B38-A13E-2E95D546D8F3}"/>
    <cellStyle name="Currency 5 7 6" xfId="2445" xr:uid="{00000000-0005-0000-0000-0000910D0000}"/>
    <cellStyle name="Currency 5 7 6 2" xfId="6729" xr:uid="{00000000-0005-0000-0000-0000920D0000}"/>
    <cellStyle name="Currency 5 7 6 2 2" xfId="15176" xr:uid="{00EF0EE6-48A0-472A-A426-C5E988EE381E}"/>
    <cellStyle name="Currency 5 7 6 3" xfId="10961" xr:uid="{862BA914-0813-49C2-B13F-F333D7C7A46E}"/>
    <cellStyle name="Currency 5 7 7" xfId="2742" xr:uid="{00000000-0005-0000-0000-0000930D0000}"/>
    <cellStyle name="Currency 5 7 8" xfId="2823" xr:uid="{00000000-0005-0000-0000-0000940D0000}"/>
    <cellStyle name="Currency 5 7 8 2" xfId="7046" xr:uid="{00000000-0005-0000-0000-0000950D0000}"/>
    <cellStyle name="Currency 5 7 8 2 2" xfId="15493" xr:uid="{8DB9F893-CCA3-4001-AA4C-9415F2D85876}"/>
    <cellStyle name="Currency 5 7 8 3" xfId="11278" xr:uid="{09320EA2-FCBA-4B06-95A9-D412995E5FBA}"/>
    <cellStyle name="Currency 5 7 9" xfId="4663" xr:uid="{00000000-0005-0000-0000-0000960D0000}"/>
    <cellStyle name="Currency 5 7 9 2" xfId="13110" xr:uid="{97D4D769-249B-4522-AC88-FCC1ED8FF2BE}"/>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77" xr:uid="{FD2C76DC-EEF0-4D61-8C3C-A3DDDC18C42A}"/>
    <cellStyle name="Normal 12 10 3" xfId="10962" xr:uid="{54A222B8-D274-4CFB-BCE7-540C9600AEAD}"/>
    <cellStyle name="Normal 12 11" xfId="4664" xr:uid="{00000000-0005-0000-0000-0000CC0D0000}"/>
    <cellStyle name="Normal 12 11 2" xfId="13111" xr:uid="{60CED3E9-867F-4318-8280-012098F5ED24}"/>
    <cellStyle name="Normal 12 12" xfId="8896" xr:uid="{3985DF44-B8E3-4377-8B9D-61F1572F3FE6}"/>
    <cellStyle name="Normal 12 2" xfId="260" xr:uid="{00000000-0005-0000-0000-0000CD0D0000}"/>
    <cellStyle name="Normal 12 2 10" xfId="8897" xr:uid="{9FC4E4AA-DB2C-480C-9B6B-D4D8E78250EE}"/>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3" xr:uid="{A8C70E6B-465A-45D6-A4DE-9747E4D5610F}"/>
    <cellStyle name="Normal 12 2 2 2 2 2 3" xfId="11458" xr:uid="{AE39874C-C329-490E-8CA9-19BDC5064A03}"/>
    <cellStyle name="Normal 12 2 2 2 2 3" xfId="5081" xr:uid="{00000000-0005-0000-0000-0000D30D0000}"/>
    <cellStyle name="Normal 12 2 2 2 2 3 2" xfId="13528" xr:uid="{90EE320F-EE39-4F30-A914-AC3CE0B6CA2D}"/>
    <cellStyle name="Normal 12 2 2 2 2 4" xfId="9313" xr:uid="{66C6962A-E727-4695-90FB-AA7F6464157B}"/>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6" xr:uid="{03ADAD26-BFD6-471F-97BA-CF4BFAA85FFA}"/>
    <cellStyle name="Normal 12 2 2 2 3 2 3" xfId="11871" xr:uid="{F09966FF-528D-4313-8AA3-BA5C2B34ABBB}"/>
    <cellStyle name="Normal 12 2 2 2 3 3" xfId="5494" xr:uid="{00000000-0005-0000-0000-0000D70D0000}"/>
    <cellStyle name="Normal 12 2 2 2 3 3 2" xfId="13941" xr:uid="{D67EB50E-EB11-45FF-B13C-5F127546605D}"/>
    <cellStyle name="Normal 12 2 2 2 3 4" xfId="9726" xr:uid="{C4B73B15-AB67-457A-B389-CBB96487C5E8}"/>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499" xr:uid="{97D68190-6B71-4117-BC75-EAB1E38639BD}"/>
    <cellStyle name="Normal 12 2 2 2 4 2 3" xfId="12284" xr:uid="{E3FC853E-B1C6-4500-BD1A-F9983357B423}"/>
    <cellStyle name="Normal 12 2 2 2 4 3" xfId="5907" xr:uid="{00000000-0005-0000-0000-0000DB0D0000}"/>
    <cellStyle name="Normal 12 2 2 2 4 3 2" xfId="14354" xr:uid="{F836978C-67AB-47E4-B3D0-6E9A1F9BE762}"/>
    <cellStyle name="Normal 12 2 2 2 4 4" xfId="10139" xr:uid="{8A3B1AF8-84E8-4A6C-A9C8-A0E2E508AFD5}"/>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2" xr:uid="{8780A31C-6CFD-4958-8D07-F855081CFFC9}"/>
    <cellStyle name="Normal 12 2 2 2 5 2 3" xfId="12697" xr:uid="{71D680FC-6B2E-4F17-9F3A-02A5E549C353}"/>
    <cellStyle name="Normal 12 2 2 2 5 3" xfId="6320" xr:uid="{00000000-0005-0000-0000-0000DF0D0000}"/>
    <cellStyle name="Normal 12 2 2 2 5 3 2" xfId="14767" xr:uid="{6CCB5BA6-AF51-49F9-940B-78CC985B8960}"/>
    <cellStyle name="Normal 12 2 2 2 5 4" xfId="10552" xr:uid="{85A51687-B68C-4523-B100-5C85E4F44A13}"/>
    <cellStyle name="Normal 12 2 2 2 6" xfId="2450" xr:uid="{00000000-0005-0000-0000-0000E00D0000}"/>
    <cellStyle name="Normal 12 2 2 2 6 2" xfId="6733" xr:uid="{00000000-0005-0000-0000-0000E10D0000}"/>
    <cellStyle name="Normal 12 2 2 2 6 2 2" xfId="15180" xr:uid="{AFA17B2D-2427-49F5-9E5D-0F76D9F2B042}"/>
    <cellStyle name="Normal 12 2 2 2 6 3" xfId="10965" xr:uid="{1622F009-5609-4DE3-A451-2388954FD58B}"/>
    <cellStyle name="Normal 12 2 2 2 7" xfId="4667" xr:uid="{00000000-0005-0000-0000-0000E20D0000}"/>
    <cellStyle name="Normal 12 2 2 2 7 2" xfId="13114" xr:uid="{1469CF69-38A0-449D-B6E4-5EE65836C777}"/>
    <cellStyle name="Normal 12 2 2 2 8" xfId="8899" xr:uid="{059F1953-B309-44BE-B452-D94FF53899BB}"/>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2" xr:uid="{5179B0C1-F625-4DE4-A732-E8E2124A9839}"/>
    <cellStyle name="Normal 12 2 2 3 2 3" xfId="11457" xr:uid="{352E7984-D75A-47B3-99AB-4692D4C09444}"/>
    <cellStyle name="Normal 12 2 2 3 3" xfId="5080" xr:uid="{00000000-0005-0000-0000-0000E60D0000}"/>
    <cellStyle name="Normal 12 2 2 3 3 2" xfId="13527" xr:uid="{0D7E1FD6-829B-4FB3-AB2C-776304C161DF}"/>
    <cellStyle name="Normal 12 2 2 3 4" xfId="9312" xr:uid="{4CA8C4A4-EDF4-40AC-8958-7F8F150643A6}"/>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5" xr:uid="{E0A128C1-8CBA-42A6-A90B-CDD744757B5E}"/>
    <cellStyle name="Normal 12 2 2 4 2 3" xfId="11870" xr:uid="{B0167D9E-5DA7-4695-9A44-E489B2817E8F}"/>
    <cellStyle name="Normal 12 2 2 4 3" xfId="5493" xr:uid="{00000000-0005-0000-0000-0000EA0D0000}"/>
    <cellStyle name="Normal 12 2 2 4 3 2" xfId="13940" xr:uid="{394535BC-0845-44BB-92B5-DB0B6892310D}"/>
    <cellStyle name="Normal 12 2 2 4 4" xfId="9725" xr:uid="{62CF3364-C83B-48C6-BC95-827630920ADC}"/>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498" xr:uid="{0FB34C0E-5BE1-47B5-8FF0-772568CC924B}"/>
    <cellStyle name="Normal 12 2 2 5 2 3" xfId="12283" xr:uid="{A543BB06-D7EA-40F3-B372-E005EA939385}"/>
    <cellStyle name="Normal 12 2 2 5 3" xfId="5906" xr:uid="{00000000-0005-0000-0000-0000EE0D0000}"/>
    <cellStyle name="Normal 12 2 2 5 3 2" xfId="14353" xr:uid="{BD7BB305-F933-40EC-BA6F-D786EB011057}"/>
    <cellStyle name="Normal 12 2 2 5 4" xfId="10138" xr:uid="{F3471EF7-A5BF-4438-BF11-E38C21F8423C}"/>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1" xr:uid="{F0EA155F-9E1D-4B16-9C42-9B02BFA42B14}"/>
    <cellStyle name="Normal 12 2 2 6 2 3" xfId="12696" xr:uid="{604E0E76-455C-4850-B910-64D7A944D5C1}"/>
    <cellStyle name="Normal 12 2 2 6 3" xfId="6319" xr:uid="{00000000-0005-0000-0000-0000F20D0000}"/>
    <cellStyle name="Normal 12 2 2 6 3 2" xfId="14766" xr:uid="{6DB3DFFB-54C2-4219-BEA6-F1FB9A79F514}"/>
    <cellStyle name="Normal 12 2 2 6 4" xfId="10551" xr:uid="{2DA57BB3-2767-4322-9970-DAB6F050334A}"/>
    <cellStyle name="Normal 12 2 2 7" xfId="2449" xr:uid="{00000000-0005-0000-0000-0000F30D0000}"/>
    <cellStyle name="Normal 12 2 2 7 2" xfId="6732" xr:uid="{00000000-0005-0000-0000-0000F40D0000}"/>
    <cellStyle name="Normal 12 2 2 7 2 2" xfId="15179" xr:uid="{FA36244E-F39B-449D-ADA2-6B716855499A}"/>
    <cellStyle name="Normal 12 2 2 7 3" xfId="10964" xr:uid="{5E1C1408-9B02-4F3D-AA2D-418A912ECC71}"/>
    <cellStyle name="Normal 12 2 2 8" xfId="4666" xr:uid="{00000000-0005-0000-0000-0000F50D0000}"/>
    <cellStyle name="Normal 12 2 2 8 2" xfId="13113" xr:uid="{B7B0335F-C449-4981-9869-D156BBD12574}"/>
    <cellStyle name="Normal 12 2 2 9" xfId="8898" xr:uid="{81CAF43C-843F-4F7D-A49F-C2F8BF905169}"/>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4" xr:uid="{57453097-3CF1-45A8-90BC-EAEDF56E0DF3}"/>
    <cellStyle name="Normal 12 2 3 2 2 3" xfId="11459" xr:uid="{64BEDC6D-9096-49DE-BA2A-A3A5193D5B20}"/>
    <cellStyle name="Normal 12 2 3 2 3" xfId="5082" xr:uid="{00000000-0005-0000-0000-0000FA0D0000}"/>
    <cellStyle name="Normal 12 2 3 2 3 2" xfId="13529" xr:uid="{5400FC5F-5589-4B30-9E2F-AA3E394A6B80}"/>
    <cellStyle name="Normal 12 2 3 2 4" xfId="9314" xr:uid="{27D7B8A6-0168-4E2C-9EB8-2CB2D7064FD0}"/>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87" xr:uid="{887AC2ED-18C1-4763-B6C4-F5369FD31AAC}"/>
    <cellStyle name="Normal 12 2 3 3 2 3" xfId="11872" xr:uid="{116F33EF-054E-47A1-8160-543853B93103}"/>
    <cellStyle name="Normal 12 2 3 3 3" xfId="5495" xr:uid="{00000000-0005-0000-0000-0000FE0D0000}"/>
    <cellStyle name="Normal 12 2 3 3 3 2" xfId="13942" xr:uid="{65521412-3B86-4CF3-857A-1A69ECAFAE44}"/>
    <cellStyle name="Normal 12 2 3 3 4" xfId="9727" xr:uid="{492099D5-B51D-48D0-84E8-3B5B7FA6DB3A}"/>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0" xr:uid="{1F1849D2-9700-4BA0-B7A7-1D557759F168}"/>
    <cellStyle name="Normal 12 2 3 4 2 3" xfId="12285" xr:uid="{C3984C82-F414-4295-A425-3296C7480F0B}"/>
    <cellStyle name="Normal 12 2 3 4 3" xfId="5908" xr:uid="{00000000-0005-0000-0000-0000020E0000}"/>
    <cellStyle name="Normal 12 2 3 4 3 2" xfId="14355" xr:uid="{52E0A1D4-7A1D-4999-8BAB-AAD1AA3F4879}"/>
    <cellStyle name="Normal 12 2 3 4 4" xfId="10140" xr:uid="{47C815B7-FC2E-49B2-9EE2-2441309C8B68}"/>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3" xr:uid="{663606CD-CA47-4D52-8256-F69790938D64}"/>
    <cellStyle name="Normal 12 2 3 5 2 3" xfId="12698" xr:uid="{DF0900CD-6482-46BB-8EC6-07548989A3BF}"/>
    <cellStyle name="Normal 12 2 3 5 3" xfId="6321" xr:uid="{00000000-0005-0000-0000-0000060E0000}"/>
    <cellStyle name="Normal 12 2 3 5 3 2" xfId="14768" xr:uid="{2D8B9247-9CBD-45F2-8FDB-CA9ED3357F40}"/>
    <cellStyle name="Normal 12 2 3 5 4" xfId="10553" xr:uid="{F125A361-781D-4BAA-8973-60F3DF24ED01}"/>
    <cellStyle name="Normal 12 2 3 6" xfId="2451" xr:uid="{00000000-0005-0000-0000-0000070E0000}"/>
    <cellStyle name="Normal 12 2 3 6 2" xfId="6734" xr:uid="{00000000-0005-0000-0000-0000080E0000}"/>
    <cellStyle name="Normal 12 2 3 6 2 2" xfId="15181" xr:uid="{13968DDF-9E1B-4491-87A8-9B2A5E75589F}"/>
    <cellStyle name="Normal 12 2 3 6 3" xfId="10966" xr:uid="{49E89ADD-0203-4522-A6CB-E477AAB7D82A}"/>
    <cellStyle name="Normal 12 2 3 7" xfId="4668" xr:uid="{00000000-0005-0000-0000-0000090E0000}"/>
    <cellStyle name="Normal 12 2 3 7 2" xfId="13115" xr:uid="{3233576E-C16D-4F49-847F-B4E111B48420}"/>
    <cellStyle name="Normal 12 2 3 8" xfId="8900" xr:uid="{2BFD4749-E79C-4A05-A60C-4A6FDF1F8281}"/>
    <cellStyle name="Normal 12 2 4" xfId="761" xr:uid="{00000000-0005-0000-0000-00000A0E0000}"/>
    <cellStyle name="Normal 12 2 4 2" xfId="3002" xr:uid="{00000000-0005-0000-0000-00000B0E0000}"/>
    <cellStyle name="Normal 12 2 4 2 2" xfId="7224" xr:uid="{00000000-0005-0000-0000-00000C0E0000}"/>
    <cellStyle name="Normal 12 2 4 2 2 2" xfId="15671" xr:uid="{24AA7D69-A237-48F4-9446-179F01A73F5F}"/>
    <cellStyle name="Normal 12 2 4 2 3" xfId="11456" xr:uid="{2A08730B-ED64-4340-A672-4054CA435DA4}"/>
    <cellStyle name="Normal 12 2 4 3" xfId="5079" xr:uid="{00000000-0005-0000-0000-00000D0E0000}"/>
    <cellStyle name="Normal 12 2 4 3 2" xfId="13526" xr:uid="{A39A0EA8-309E-46D3-824F-232727D693CF}"/>
    <cellStyle name="Normal 12 2 4 4" xfId="9311" xr:uid="{175B80F0-8FD9-4EF4-8E96-7A5EB812B0A2}"/>
    <cellStyle name="Normal 12 2 5" xfId="1184" xr:uid="{00000000-0005-0000-0000-00000E0E0000}"/>
    <cellStyle name="Normal 12 2 5 2" xfId="3415" xr:uid="{00000000-0005-0000-0000-00000F0E0000}"/>
    <cellStyle name="Normal 12 2 5 2 2" xfId="7637" xr:uid="{00000000-0005-0000-0000-0000100E0000}"/>
    <cellStyle name="Normal 12 2 5 2 2 2" xfId="16084" xr:uid="{1A0C9FA0-4CAA-4340-B14A-236605E640AB}"/>
    <cellStyle name="Normal 12 2 5 2 3" xfId="11869" xr:uid="{E0ED4C08-0B4A-404E-9D21-D7179F786F93}"/>
    <cellStyle name="Normal 12 2 5 3" xfId="5492" xr:uid="{00000000-0005-0000-0000-0000110E0000}"/>
    <cellStyle name="Normal 12 2 5 3 2" xfId="13939" xr:uid="{B57476A3-37CD-402E-A802-82117B49C416}"/>
    <cellStyle name="Normal 12 2 5 4" xfId="9724" xr:uid="{8990A36C-927E-4283-8F7D-A738232DB627}"/>
    <cellStyle name="Normal 12 2 6" xfId="1598" xr:uid="{00000000-0005-0000-0000-0000120E0000}"/>
    <cellStyle name="Normal 12 2 6 2" xfId="3828" xr:uid="{00000000-0005-0000-0000-0000130E0000}"/>
    <cellStyle name="Normal 12 2 6 2 2" xfId="8050" xr:uid="{00000000-0005-0000-0000-0000140E0000}"/>
    <cellStyle name="Normal 12 2 6 2 2 2" xfId="16497" xr:uid="{50D3E2EA-8FE3-419B-9509-374F3EFCBEB8}"/>
    <cellStyle name="Normal 12 2 6 2 3" xfId="12282" xr:uid="{27407E7A-27E2-4FAB-A2C2-6D6ADB412BC9}"/>
    <cellStyle name="Normal 12 2 6 3" xfId="5905" xr:uid="{00000000-0005-0000-0000-0000150E0000}"/>
    <cellStyle name="Normal 12 2 6 3 2" xfId="14352" xr:uid="{334264E9-9831-4C9C-A15C-D7CF0A060322}"/>
    <cellStyle name="Normal 12 2 6 4" xfId="10137" xr:uid="{4BCC865A-A114-447E-AC93-01EB4839F0D1}"/>
    <cellStyle name="Normal 12 2 7" xfId="2012" xr:uid="{00000000-0005-0000-0000-0000160E0000}"/>
    <cellStyle name="Normal 12 2 7 2" xfId="4241" xr:uid="{00000000-0005-0000-0000-0000170E0000}"/>
    <cellStyle name="Normal 12 2 7 2 2" xfId="8463" xr:uid="{00000000-0005-0000-0000-0000180E0000}"/>
    <cellStyle name="Normal 12 2 7 2 2 2" xfId="16910" xr:uid="{A5DFB9B3-C0AD-4621-8E89-653190C72FF3}"/>
    <cellStyle name="Normal 12 2 7 2 3" xfId="12695" xr:uid="{9E95C885-06E7-4F2E-B9DF-C6445151C251}"/>
    <cellStyle name="Normal 12 2 7 3" xfId="6318" xr:uid="{00000000-0005-0000-0000-0000190E0000}"/>
    <cellStyle name="Normal 12 2 7 3 2" xfId="14765" xr:uid="{BE52D2DD-C647-4DC1-AB30-0F06561FD42C}"/>
    <cellStyle name="Normal 12 2 7 4" xfId="10550" xr:uid="{52C8925E-67E2-44A7-8C1B-B194B79307A5}"/>
    <cellStyle name="Normal 12 2 8" xfId="2448" xr:uid="{00000000-0005-0000-0000-00001A0E0000}"/>
    <cellStyle name="Normal 12 2 8 2" xfId="6731" xr:uid="{00000000-0005-0000-0000-00001B0E0000}"/>
    <cellStyle name="Normal 12 2 8 2 2" xfId="15178" xr:uid="{9CB50E45-F66E-4F4D-ABA1-E47447EDF3A6}"/>
    <cellStyle name="Normal 12 2 8 3" xfId="10963" xr:uid="{E310A627-7958-4C72-936C-7B835B281F85}"/>
    <cellStyle name="Normal 12 2 9" xfId="4665" xr:uid="{00000000-0005-0000-0000-00001C0E0000}"/>
    <cellStyle name="Normal 12 2 9 2" xfId="13112" xr:uid="{D5C0608B-A0CC-41EC-9E85-D1C8E1B97179}"/>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6" xr:uid="{D3B158F7-B227-4945-BCC0-194BC5332592}"/>
    <cellStyle name="Normal 12 3 2 2 2 3" xfId="11461" xr:uid="{B5906B09-0D0A-4D2C-8935-43B9578378A3}"/>
    <cellStyle name="Normal 12 3 2 2 3" xfId="5084" xr:uid="{00000000-0005-0000-0000-0000220E0000}"/>
    <cellStyle name="Normal 12 3 2 2 3 2" xfId="13531" xr:uid="{C9BDC236-7B7F-42EF-A973-BE16C301BF6F}"/>
    <cellStyle name="Normal 12 3 2 2 4" xfId="9316" xr:uid="{969DFFDF-C205-470B-9969-19737F9A1F2D}"/>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89" xr:uid="{4A51BA69-8994-4ABF-854B-08319115EAEA}"/>
    <cellStyle name="Normal 12 3 2 3 2 3" xfId="11874" xr:uid="{564CF5DF-78DB-4CE0-887B-649878D5CCB4}"/>
    <cellStyle name="Normal 12 3 2 3 3" xfId="5497" xr:uid="{00000000-0005-0000-0000-0000260E0000}"/>
    <cellStyle name="Normal 12 3 2 3 3 2" xfId="13944" xr:uid="{C40EAD77-4AE7-4285-BC5D-BA159D9ED6AF}"/>
    <cellStyle name="Normal 12 3 2 3 4" xfId="9729" xr:uid="{D6C70969-8FD2-40F0-B3AC-10561696940D}"/>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2" xr:uid="{C0635A74-8B98-4EF9-8295-9452A405FB9D}"/>
    <cellStyle name="Normal 12 3 2 4 2 3" xfId="12287" xr:uid="{B4DEF0FD-9B36-4A0B-B822-509CE2E1DB81}"/>
    <cellStyle name="Normal 12 3 2 4 3" xfId="5910" xr:uid="{00000000-0005-0000-0000-00002A0E0000}"/>
    <cellStyle name="Normal 12 3 2 4 3 2" xfId="14357" xr:uid="{60700B50-9934-44C0-BD6E-7320D816BBC8}"/>
    <cellStyle name="Normal 12 3 2 4 4" xfId="10142" xr:uid="{5998A3F6-EF04-4E42-9D77-EB08925B1347}"/>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5" xr:uid="{B62C9251-F6AB-4F78-89F5-3B3C272CD3A1}"/>
    <cellStyle name="Normal 12 3 2 5 2 3" xfId="12700" xr:uid="{0203DCD6-F0DA-4D23-A922-9A714F4F7200}"/>
    <cellStyle name="Normal 12 3 2 5 3" xfId="6323" xr:uid="{00000000-0005-0000-0000-00002E0E0000}"/>
    <cellStyle name="Normal 12 3 2 5 3 2" xfId="14770" xr:uid="{DE4AA184-4B49-4B30-9902-F391930FA37E}"/>
    <cellStyle name="Normal 12 3 2 5 4" xfId="10555" xr:uid="{EC16D407-F5C9-4519-AD3C-653B76F67960}"/>
    <cellStyle name="Normal 12 3 2 6" xfId="2453" xr:uid="{00000000-0005-0000-0000-00002F0E0000}"/>
    <cellStyle name="Normal 12 3 2 6 2" xfId="6736" xr:uid="{00000000-0005-0000-0000-0000300E0000}"/>
    <cellStyle name="Normal 12 3 2 6 2 2" xfId="15183" xr:uid="{3C470DA1-C5C8-42BF-BC4F-BD0525D3CE9C}"/>
    <cellStyle name="Normal 12 3 2 6 3" xfId="10968" xr:uid="{2C9EA1BF-BC17-4B4C-9EBA-F1AD61626CE0}"/>
    <cellStyle name="Normal 12 3 2 7" xfId="4670" xr:uid="{00000000-0005-0000-0000-0000310E0000}"/>
    <cellStyle name="Normal 12 3 2 7 2" xfId="13117" xr:uid="{418F2149-A5BA-4D3D-AFD1-E94622FE1091}"/>
    <cellStyle name="Normal 12 3 2 8" xfId="8902" xr:uid="{6EBF5E67-8949-47C7-B836-309F0406383F}"/>
    <cellStyle name="Normal 12 3 3" xfId="765" xr:uid="{00000000-0005-0000-0000-0000320E0000}"/>
    <cellStyle name="Normal 12 3 3 2" xfId="3006" xr:uid="{00000000-0005-0000-0000-0000330E0000}"/>
    <cellStyle name="Normal 12 3 3 2 2" xfId="7228" xr:uid="{00000000-0005-0000-0000-0000340E0000}"/>
    <cellStyle name="Normal 12 3 3 2 2 2" xfId="15675" xr:uid="{11C5F70C-3107-44C4-8C06-718F565FD434}"/>
    <cellStyle name="Normal 12 3 3 2 3" xfId="11460" xr:uid="{E16C7C6E-28E8-47D3-940A-0CC168E52F19}"/>
    <cellStyle name="Normal 12 3 3 3" xfId="5083" xr:uid="{00000000-0005-0000-0000-0000350E0000}"/>
    <cellStyle name="Normal 12 3 3 3 2" xfId="13530" xr:uid="{A8851BB5-93A2-40A4-A04F-3F4CA1D8FB72}"/>
    <cellStyle name="Normal 12 3 3 4" xfId="9315" xr:uid="{03F69E13-370F-42DC-8047-3C2FF8BD9C8E}"/>
    <cellStyle name="Normal 12 3 4" xfId="1188" xr:uid="{00000000-0005-0000-0000-0000360E0000}"/>
    <cellStyle name="Normal 12 3 4 2" xfId="3419" xr:uid="{00000000-0005-0000-0000-0000370E0000}"/>
    <cellStyle name="Normal 12 3 4 2 2" xfId="7641" xr:uid="{00000000-0005-0000-0000-0000380E0000}"/>
    <cellStyle name="Normal 12 3 4 2 2 2" xfId="16088" xr:uid="{AB70A07E-42BF-4E0C-ABA5-9640541DB47F}"/>
    <cellStyle name="Normal 12 3 4 2 3" xfId="11873" xr:uid="{9A43E766-E9BB-46C5-90ED-CD4E707F916D}"/>
    <cellStyle name="Normal 12 3 4 3" xfId="5496" xr:uid="{00000000-0005-0000-0000-0000390E0000}"/>
    <cellStyle name="Normal 12 3 4 3 2" xfId="13943" xr:uid="{C44F8313-D5AF-4EDA-A31B-82D022A1A5DD}"/>
    <cellStyle name="Normal 12 3 4 4" xfId="9728" xr:uid="{6C892DE0-5336-4956-84C8-AF5C6A5EEE2F}"/>
    <cellStyle name="Normal 12 3 5" xfId="1602" xr:uid="{00000000-0005-0000-0000-00003A0E0000}"/>
    <cellStyle name="Normal 12 3 5 2" xfId="3832" xr:uid="{00000000-0005-0000-0000-00003B0E0000}"/>
    <cellStyle name="Normal 12 3 5 2 2" xfId="8054" xr:uid="{00000000-0005-0000-0000-00003C0E0000}"/>
    <cellStyle name="Normal 12 3 5 2 2 2" xfId="16501" xr:uid="{5C02B1B8-6780-407A-84D9-185D0B952C67}"/>
    <cellStyle name="Normal 12 3 5 2 3" xfId="12286" xr:uid="{0ED643B3-1EFE-44C4-ACA4-2F53C64FC0FC}"/>
    <cellStyle name="Normal 12 3 5 3" xfId="5909" xr:uid="{00000000-0005-0000-0000-00003D0E0000}"/>
    <cellStyle name="Normal 12 3 5 3 2" xfId="14356" xr:uid="{F260685B-BD26-4D8E-86AE-3F13FD1ACA1D}"/>
    <cellStyle name="Normal 12 3 5 4" xfId="10141" xr:uid="{555CEE51-A71A-49F3-8E39-8675DFE6D28F}"/>
    <cellStyle name="Normal 12 3 6" xfId="2016" xr:uid="{00000000-0005-0000-0000-00003E0E0000}"/>
    <cellStyle name="Normal 12 3 6 2" xfId="4245" xr:uid="{00000000-0005-0000-0000-00003F0E0000}"/>
    <cellStyle name="Normal 12 3 6 2 2" xfId="8467" xr:uid="{00000000-0005-0000-0000-0000400E0000}"/>
    <cellStyle name="Normal 12 3 6 2 2 2" xfId="16914" xr:uid="{C0A1F329-2CCC-4144-9214-FC205B826D60}"/>
    <cellStyle name="Normal 12 3 6 2 3" xfId="12699" xr:uid="{35E427E4-13C0-4546-8DCF-93BF51B4926A}"/>
    <cellStyle name="Normal 12 3 6 3" xfId="6322" xr:uid="{00000000-0005-0000-0000-0000410E0000}"/>
    <cellStyle name="Normal 12 3 6 3 2" xfId="14769" xr:uid="{C9E035C2-9363-450C-A3B8-CAF11B97B3E6}"/>
    <cellStyle name="Normal 12 3 6 4" xfId="10554" xr:uid="{C71D95E9-0023-405F-9E73-CEB8066BAD6E}"/>
    <cellStyle name="Normal 12 3 7" xfId="2452" xr:uid="{00000000-0005-0000-0000-0000420E0000}"/>
    <cellStyle name="Normal 12 3 7 2" xfId="6735" xr:uid="{00000000-0005-0000-0000-0000430E0000}"/>
    <cellStyle name="Normal 12 3 7 2 2" xfId="15182" xr:uid="{4C037EA9-671A-4D5A-9127-4C7D3C7463E5}"/>
    <cellStyle name="Normal 12 3 7 3" xfId="10967" xr:uid="{6ACDCA8B-29B6-4313-B459-60800DDE2098}"/>
    <cellStyle name="Normal 12 3 8" xfId="4669" xr:uid="{00000000-0005-0000-0000-0000440E0000}"/>
    <cellStyle name="Normal 12 3 8 2" xfId="13116" xr:uid="{CBD7F70A-BEDB-4B14-970B-E0BB67F37ED8}"/>
    <cellStyle name="Normal 12 3 9" xfId="8901" xr:uid="{A39E5103-8B57-4176-93A6-1A2FADC84346}"/>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77" xr:uid="{65F789AC-690F-4171-8AA0-BFA0D4B0E765}"/>
    <cellStyle name="Normal 12 4 2 2 3" xfId="11462" xr:uid="{78F0C1A6-B09C-4B41-BF81-D1E8FE637CD9}"/>
    <cellStyle name="Normal 12 4 2 3" xfId="5085" xr:uid="{00000000-0005-0000-0000-0000490E0000}"/>
    <cellStyle name="Normal 12 4 2 3 2" xfId="13532" xr:uid="{B5F942E0-4496-467D-B31E-800C5F95C91B}"/>
    <cellStyle name="Normal 12 4 2 4" xfId="9317" xr:uid="{E074DEE4-FE51-4F1E-8C53-7EC19E3ABB80}"/>
    <cellStyle name="Normal 12 4 3" xfId="1190" xr:uid="{00000000-0005-0000-0000-00004A0E0000}"/>
    <cellStyle name="Normal 12 4 3 2" xfId="3421" xr:uid="{00000000-0005-0000-0000-00004B0E0000}"/>
    <cellStyle name="Normal 12 4 3 2 2" xfId="7643" xr:uid="{00000000-0005-0000-0000-00004C0E0000}"/>
    <cellStyle name="Normal 12 4 3 2 2 2" xfId="16090" xr:uid="{BF945AAB-A9A8-417F-B5F1-828C0591B401}"/>
    <cellStyle name="Normal 12 4 3 2 3" xfId="11875" xr:uid="{669E5EDD-B33B-4221-A523-68624C29BDF6}"/>
    <cellStyle name="Normal 12 4 3 3" xfId="5498" xr:uid="{00000000-0005-0000-0000-00004D0E0000}"/>
    <cellStyle name="Normal 12 4 3 3 2" xfId="13945" xr:uid="{6E57FCE8-1049-4EC8-9FB4-893F29989A7E}"/>
    <cellStyle name="Normal 12 4 3 4" xfId="9730" xr:uid="{C2F82D32-42BD-407B-A845-7C1729373C6D}"/>
    <cellStyle name="Normal 12 4 4" xfId="1604" xr:uid="{00000000-0005-0000-0000-00004E0E0000}"/>
    <cellStyle name="Normal 12 4 4 2" xfId="3834" xr:uid="{00000000-0005-0000-0000-00004F0E0000}"/>
    <cellStyle name="Normal 12 4 4 2 2" xfId="8056" xr:uid="{00000000-0005-0000-0000-0000500E0000}"/>
    <cellStyle name="Normal 12 4 4 2 2 2" xfId="16503" xr:uid="{5B18218F-A0EC-4FC2-BD3A-92914FD0A65E}"/>
    <cellStyle name="Normal 12 4 4 2 3" xfId="12288" xr:uid="{955A09FD-7389-467E-97BD-BF651DC50987}"/>
    <cellStyle name="Normal 12 4 4 3" xfId="5911" xr:uid="{00000000-0005-0000-0000-0000510E0000}"/>
    <cellStyle name="Normal 12 4 4 3 2" xfId="14358" xr:uid="{6A26141E-895B-43D2-A3D5-313B2C5B216F}"/>
    <cellStyle name="Normal 12 4 4 4" xfId="10143" xr:uid="{EFB05428-7204-40E5-A45D-E161FE266D80}"/>
    <cellStyle name="Normal 12 4 5" xfId="2018" xr:uid="{00000000-0005-0000-0000-0000520E0000}"/>
    <cellStyle name="Normal 12 4 5 2" xfId="4247" xr:uid="{00000000-0005-0000-0000-0000530E0000}"/>
    <cellStyle name="Normal 12 4 5 2 2" xfId="8469" xr:uid="{00000000-0005-0000-0000-0000540E0000}"/>
    <cellStyle name="Normal 12 4 5 2 2 2" xfId="16916" xr:uid="{279979AB-0717-44F7-B2E4-6658864D9CC0}"/>
    <cellStyle name="Normal 12 4 5 2 3" xfId="12701" xr:uid="{1F0DBD61-D4AB-4B20-96CD-DB6B0095CDE2}"/>
    <cellStyle name="Normal 12 4 5 3" xfId="6324" xr:uid="{00000000-0005-0000-0000-0000550E0000}"/>
    <cellStyle name="Normal 12 4 5 3 2" xfId="14771" xr:uid="{99EF1046-653A-4813-A096-8183648970F3}"/>
    <cellStyle name="Normal 12 4 5 4" xfId="10556" xr:uid="{E3CAA80F-C194-48FF-8597-FB635128DF82}"/>
    <cellStyle name="Normal 12 4 6" xfId="2454" xr:uid="{00000000-0005-0000-0000-0000560E0000}"/>
    <cellStyle name="Normal 12 4 6 2" xfId="6737" xr:uid="{00000000-0005-0000-0000-0000570E0000}"/>
    <cellStyle name="Normal 12 4 6 2 2" xfId="15184" xr:uid="{FE32F39E-CC23-40AB-A84B-4F1FC389FFA5}"/>
    <cellStyle name="Normal 12 4 6 3" xfId="10969" xr:uid="{47F7A0CE-0ABD-45A1-B228-5E5AF1296678}"/>
    <cellStyle name="Normal 12 4 7" xfId="4671" xr:uid="{00000000-0005-0000-0000-0000580E0000}"/>
    <cellStyle name="Normal 12 4 7 2" xfId="13118" xr:uid="{160E64F5-F354-4992-B5AB-0F5040BD1331}"/>
    <cellStyle name="Normal 12 4 8" xfId="8903" xr:uid="{DC7D7549-34B6-4B31-AA61-9B58A5B4893A}"/>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0" xr:uid="{A5B3C815-0158-4D70-AD13-81DE2B106784}"/>
    <cellStyle name="Normal 12 6 2 3" xfId="11455" xr:uid="{C343C513-4379-4BFD-9797-CC3DD3CF0DE9}"/>
    <cellStyle name="Normal 12 6 3" xfId="5078" xr:uid="{00000000-0005-0000-0000-00005D0E0000}"/>
    <cellStyle name="Normal 12 6 3 2" xfId="13525" xr:uid="{B792837B-F571-4843-9072-DFFF6F16E1EE}"/>
    <cellStyle name="Normal 12 6 4" xfId="9310" xr:uid="{DA8598B4-0E1B-4591-8625-F3FF0B4D12B0}"/>
    <cellStyle name="Normal 12 7" xfId="1183" xr:uid="{00000000-0005-0000-0000-00005E0E0000}"/>
    <cellStyle name="Normal 12 7 2" xfId="3414" xr:uid="{00000000-0005-0000-0000-00005F0E0000}"/>
    <cellStyle name="Normal 12 7 2 2" xfId="7636" xr:uid="{00000000-0005-0000-0000-0000600E0000}"/>
    <cellStyle name="Normal 12 7 2 2 2" xfId="16083" xr:uid="{34A5A7FB-A0F8-4EDA-AAAF-3C0770A58DF0}"/>
    <cellStyle name="Normal 12 7 2 3" xfId="11868" xr:uid="{0AAAAF74-13B2-4710-A671-03153EAE1E1A}"/>
    <cellStyle name="Normal 12 7 3" xfId="5491" xr:uid="{00000000-0005-0000-0000-0000610E0000}"/>
    <cellStyle name="Normal 12 7 3 2" xfId="13938" xr:uid="{F9AF9615-12E9-42AD-9512-80A44957F689}"/>
    <cellStyle name="Normal 12 7 4" xfId="9723" xr:uid="{F1F1B1D7-53E8-4D9A-B847-27F2374B82FA}"/>
    <cellStyle name="Normal 12 8" xfId="1597" xr:uid="{00000000-0005-0000-0000-0000620E0000}"/>
    <cellStyle name="Normal 12 8 2" xfId="3827" xr:uid="{00000000-0005-0000-0000-0000630E0000}"/>
    <cellStyle name="Normal 12 8 2 2" xfId="8049" xr:uid="{00000000-0005-0000-0000-0000640E0000}"/>
    <cellStyle name="Normal 12 8 2 2 2" xfId="16496" xr:uid="{C4B1B1D5-B2DC-462B-B8A9-2F572C6B0B75}"/>
    <cellStyle name="Normal 12 8 2 3" xfId="12281" xr:uid="{1CD2FB76-F747-4236-961D-14D7BE5BBE91}"/>
    <cellStyle name="Normal 12 8 3" xfId="5904" xr:uid="{00000000-0005-0000-0000-0000650E0000}"/>
    <cellStyle name="Normal 12 8 3 2" xfId="14351" xr:uid="{CBC9DFEC-2945-4380-89F3-764E14051C0F}"/>
    <cellStyle name="Normal 12 8 4" xfId="10136" xr:uid="{FDB2FDD0-4517-4E18-BCDC-8BC2CB4377D7}"/>
    <cellStyle name="Normal 12 9" xfId="2011" xr:uid="{00000000-0005-0000-0000-0000660E0000}"/>
    <cellStyle name="Normal 12 9 2" xfId="4240" xr:uid="{00000000-0005-0000-0000-0000670E0000}"/>
    <cellStyle name="Normal 12 9 2 2" xfId="8462" xr:uid="{00000000-0005-0000-0000-0000680E0000}"/>
    <cellStyle name="Normal 12 9 2 2 2" xfId="16909" xr:uid="{57E6C3A2-F0EA-4520-8552-FFEC4980ECF3}"/>
    <cellStyle name="Normal 12 9 2 3" xfId="12694" xr:uid="{2327B2D7-DDE8-4117-8C0F-78BCB81DD712}"/>
    <cellStyle name="Normal 12 9 3" xfId="6317" xr:uid="{00000000-0005-0000-0000-0000690E0000}"/>
    <cellStyle name="Normal 12 9 3 2" xfId="14764" xr:uid="{C210FEAB-1D83-4F99-94EC-0E30314292C9}"/>
    <cellStyle name="Normal 12 9 4" xfId="10549" xr:uid="{A63754F0-18C3-4090-B8FE-72904AB0F142}"/>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78" xr:uid="{2E3E502A-AE05-42B7-A2BB-C91C2AB959FE}"/>
    <cellStyle name="Normal 14 2 2 3" xfId="11463" xr:uid="{5D027643-86EC-4F19-815B-1627321492E1}"/>
    <cellStyle name="Normal 14 2 3" xfId="5086" xr:uid="{00000000-0005-0000-0000-0000700E0000}"/>
    <cellStyle name="Normal 14 2 3 2" xfId="13533" xr:uid="{4E5F77D7-76E3-4332-A8D4-D78C14E156B8}"/>
    <cellStyle name="Normal 14 2 4" xfId="9318" xr:uid="{5B9EBAD1-1AA3-4CED-A7F4-3447FB45E293}"/>
    <cellStyle name="Normal 14 3" xfId="1191" xr:uid="{00000000-0005-0000-0000-0000710E0000}"/>
    <cellStyle name="Normal 14 3 2" xfId="3422" xr:uid="{00000000-0005-0000-0000-0000720E0000}"/>
    <cellStyle name="Normal 14 3 2 2" xfId="7644" xr:uid="{00000000-0005-0000-0000-0000730E0000}"/>
    <cellStyle name="Normal 14 3 2 2 2" xfId="16091" xr:uid="{C8F3DF9A-1769-4E75-B921-254C68CD00CB}"/>
    <cellStyle name="Normal 14 3 2 3" xfId="11876" xr:uid="{FAF7E587-003E-41BF-84E8-D5027B013495}"/>
    <cellStyle name="Normal 14 3 3" xfId="5499" xr:uid="{00000000-0005-0000-0000-0000740E0000}"/>
    <cellStyle name="Normal 14 3 3 2" xfId="13946" xr:uid="{8625B9AD-34C2-4872-853F-571BC31FA204}"/>
    <cellStyle name="Normal 14 3 4" xfId="9731" xr:uid="{C520C512-AF01-4472-8AB6-278E9E663DED}"/>
    <cellStyle name="Normal 14 4" xfId="1605" xr:uid="{00000000-0005-0000-0000-0000750E0000}"/>
    <cellStyle name="Normal 14 4 2" xfId="3835" xr:uid="{00000000-0005-0000-0000-0000760E0000}"/>
    <cellStyle name="Normal 14 4 2 2" xfId="8057" xr:uid="{00000000-0005-0000-0000-0000770E0000}"/>
    <cellStyle name="Normal 14 4 2 2 2" xfId="16504" xr:uid="{BE305A04-F577-4F72-93FC-5FCCC429F25F}"/>
    <cellStyle name="Normal 14 4 2 3" xfId="12289" xr:uid="{E10A0234-FC61-4D80-9DEF-892F3C4A80FE}"/>
    <cellStyle name="Normal 14 4 3" xfId="5912" xr:uid="{00000000-0005-0000-0000-0000780E0000}"/>
    <cellStyle name="Normal 14 4 3 2" xfId="14359" xr:uid="{F2EF5D8F-48A4-494C-809E-7F67784D888A}"/>
    <cellStyle name="Normal 14 4 4" xfId="10144" xr:uid="{6DB7C6B1-81D8-47B8-954F-C7D2A661648F}"/>
    <cellStyle name="Normal 14 5" xfId="2019" xr:uid="{00000000-0005-0000-0000-0000790E0000}"/>
    <cellStyle name="Normal 14 5 2" xfId="4248" xr:uid="{00000000-0005-0000-0000-00007A0E0000}"/>
    <cellStyle name="Normal 14 5 2 2" xfId="8470" xr:uid="{00000000-0005-0000-0000-00007B0E0000}"/>
    <cellStyle name="Normal 14 5 2 2 2" xfId="16917" xr:uid="{006BB4C5-915E-44EE-81C0-18083A0B2A90}"/>
    <cellStyle name="Normal 14 5 2 3" xfId="12702" xr:uid="{D8D91620-D428-4D61-8836-5D807C66BC1E}"/>
    <cellStyle name="Normal 14 5 3" xfId="6325" xr:uid="{00000000-0005-0000-0000-00007C0E0000}"/>
    <cellStyle name="Normal 14 5 3 2" xfId="14772" xr:uid="{2035D1D2-BA56-41A2-985F-DC7617EB7551}"/>
    <cellStyle name="Normal 14 5 4" xfId="10557" xr:uid="{159E7F9A-A2B4-4A4B-AE56-40253572487B}"/>
    <cellStyle name="Normal 14 6" xfId="2455" xr:uid="{00000000-0005-0000-0000-00007D0E0000}"/>
    <cellStyle name="Normal 14 6 2" xfId="6738" xr:uid="{00000000-0005-0000-0000-00007E0E0000}"/>
    <cellStyle name="Normal 14 6 2 2" xfId="15185" xr:uid="{9DA7FBAB-E79E-43B7-8D6C-CE95F8042736}"/>
    <cellStyle name="Normal 14 6 3" xfId="10970" xr:uid="{6F6385DB-C5B3-452E-9134-9769C4896932}"/>
    <cellStyle name="Normal 14 7" xfId="4672" xr:uid="{00000000-0005-0000-0000-00007F0E0000}"/>
    <cellStyle name="Normal 14 7 2" xfId="13119" xr:uid="{A502C274-C4B2-49B9-BB89-834E2D85C4C9}"/>
    <cellStyle name="Normal 14 8" xfId="8904" xr:uid="{AC23F170-215D-4355-BE7C-C04CB327061C}"/>
    <cellStyle name="Normal 15" xfId="4496" xr:uid="{00000000-0005-0000-0000-0000800E0000}"/>
    <cellStyle name="Normal 15 2" xfId="12948" xr:uid="{C238B5BA-6E27-43AE-AC1A-7ACF7A23BB5A}"/>
    <cellStyle name="Normal 16" xfId="4500" xr:uid="{00000000-0005-0000-0000-0000810E0000}"/>
    <cellStyle name="Normal 16 2" xfId="8715" xr:uid="{00000000-0005-0000-0000-0000820E0000}"/>
    <cellStyle name="Normal 16 2 2" xfId="17162" xr:uid="{3E1D0479-DB3B-4D74-8685-DB4BDE0AE019}"/>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17 2" xfId="17165" xr:uid="{0776AE18-FE77-4E48-8168-9842581AB4A8}"/>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18" xr:uid="{58EA657F-9515-4FB5-957C-AF8BE3D8CBF6}"/>
    <cellStyle name="Normal 2 4 2 10 2 3" xfId="12703" xr:uid="{2282CBB4-33D6-4CC1-AB4A-BE9761488EE3}"/>
    <cellStyle name="Normal 2 4 2 10 3" xfId="6326" xr:uid="{00000000-0005-0000-0000-0000910E0000}"/>
    <cellStyle name="Normal 2 4 2 10 3 2" xfId="14773" xr:uid="{3C289420-3037-4F58-A454-709529F70297}"/>
    <cellStyle name="Normal 2 4 2 10 4" xfId="10558" xr:uid="{DF3DF730-5A7D-4A53-BB13-D1FE08DECCF6}"/>
    <cellStyle name="Normal 2 4 2 11" xfId="2456" xr:uid="{00000000-0005-0000-0000-0000920E0000}"/>
    <cellStyle name="Normal 2 4 2 11 2" xfId="6739" xr:uid="{00000000-0005-0000-0000-0000930E0000}"/>
    <cellStyle name="Normal 2 4 2 11 2 2" xfId="15186" xr:uid="{21E2D4A3-505E-412E-90ED-29D87E3E652D}"/>
    <cellStyle name="Normal 2 4 2 11 3" xfId="10971" xr:uid="{0FA365E9-CDEA-42F7-8AE2-9B42456B2251}"/>
    <cellStyle name="Normal 2 4 2 12" xfId="4673" xr:uid="{00000000-0005-0000-0000-0000940E0000}"/>
    <cellStyle name="Normal 2 4 2 12 2" xfId="13120" xr:uid="{678AB0D5-3627-4A44-98BF-E99A105D449B}"/>
    <cellStyle name="Normal 2 4 2 13" xfId="8905" xr:uid="{AF5FEBF7-3D37-4B49-B67E-806BD1DE8524}"/>
    <cellStyle name="Normal 2 4 2 2" xfId="280" xr:uid="{00000000-0005-0000-0000-0000950E0000}"/>
    <cellStyle name="Normal 2 4 2 3" xfId="281" xr:uid="{00000000-0005-0000-0000-0000960E0000}"/>
    <cellStyle name="Normal 2 4 2 3 10" xfId="4674" xr:uid="{00000000-0005-0000-0000-0000970E0000}"/>
    <cellStyle name="Normal 2 4 2 3 10 2" xfId="13121" xr:uid="{20529EEF-4B1C-441B-B6E9-32EA85E3A632}"/>
    <cellStyle name="Normal 2 4 2 3 11" xfId="8906" xr:uid="{CCD5FB13-B7C2-436D-B02F-E040ADE9B105}"/>
    <cellStyle name="Normal 2 4 2 3 2" xfId="282" xr:uid="{00000000-0005-0000-0000-0000980E0000}"/>
    <cellStyle name="Normal 2 4 2 3 2 10" xfId="8907" xr:uid="{AE98726D-2D98-43D5-A0DA-66360F869745}"/>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3" xr:uid="{EBBC0925-7FC1-478B-B44A-B5289D0937A7}"/>
    <cellStyle name="Normal 2 4 2 3 2 2 2 2 2 3" xfId="11468" xr:uid="{398D68A1-CEC7-4EE4-B30D-AAC6A364894B}"/>
    <cellStyle name="Normal 2 4 2 3 2 2 2 2 3" xfId="5091" xr:uid="{00000000-0005-0000-0000-00009E0E0000}"/>
    <cellStyle name="Normal 2 4 2 3 2 2 2 2 3 2" xfId="13538" xr:uid="{2D7E8B05-7E92-457A-BA59-589E803BCDA2}"/>
    <cellStyle name="Normal 2 4 2 3 2 2 2 2 4" xfId="9323" xr:uid="{81F309F8-221F-48C7-A993-175358B1E64F}"/>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6" xr:uid="{8FB20A18-B98D-4E13-A08E-453BEC9EBB80}"/>
    <cellStyle name="Normal 2 4 2 3 2 2 2 3 2 3" xfId="11881" xr:uid="{18EA5B42-3F04-4A98-920E-9DB5D4E82EF1}"/>
    <cellStyle name="Normal 2 4 2 3 2 2 2 3 3" xfId="5504" xr:uid="{00000000-0005-0000-0000-0000A20E0000}"/>
    <cellStyle name="Normal 2 4 2 3 2 2 2 3 3 2" xfId="13951" xr:uid="{1F9ED3CB-F9F7-450C-AC90-87DAB0E6BDD4}"/>
    <cellStyle name="Normal 2 4 2 3 2 2 2 3 4" xfId="9736" xr:uid="{6E833014-1666-44E7-8115-117005C87447}"/>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09" xr:uid="{99011C19-49A5-4E17-BC46-15EC7AD73F76}"/>
    <cellStyle name="Normal 2 4 2 3 2 2 2 4 2 3" xfId="12294" xr:uid="{371C8670-5F19-47A9-AA93-9A8EDFDA2C7D}"/>
    <cellStyle name="Normal 2 4 2 3 2 2 2 4 3" xfId="5917" xr:uid="{00000000-0005-0000-0000-0000A60E0000}"/>
    <cellStyle name="Normal 2 4 2 3 2 2 2 4 3 2" xfId="14364" xr:uid="{7CFF6454-1151-4A83-BE2B-2AED6AE80774}"/>
    <cellStyle name="Normal 2 4 2 3 2 2 2 4 4" xfId="10149" xr:uid="{D8981FCF-83F3-4AF4-A6DC-4113D0250C4A}"/>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2" xr:uid="{60C53D13-C872-40C2-B40B-79D7F7DDF49F}"/>
    <cellStyle name="Normal 2 4 2 3 2 2 2 5 2 3" xfId="12707" xr:uid="{D31D4368-4CE3-43E1-AF17-77897713299B}"/>
    <cellStyle name="Normal 2 4 2 3 2 2 2 5 3" xfId="6330" xr:uid="{00000000-0005-0000-0000-0000AA0E0000}"/>
    <cellStyle name="Normal 2 4 2 3 2 2 2 5 3 2" xfId="14777" xr:uid="{29375861-C9AD-4741-AD39-ABBF19E77C14}"/>
    <cellStyle name="Normal 2 4 2 3 2 2 2 5 4" xfId="10562" xr:uid="{F2106F45-A33D-4F76-81E2-B375E082AE42}"/>
    <cellStyle name="Normal 2 4 2 3 2 2 2 6" xfId="2460" xr:uid="{00000000-0005-0000-0000-0000AB0E0000}"/>
    <cellStyle name="Normal 2 4 2 3 2 2 2 6 2" xfId="6743" xr:uid="{00000000-0005-0000-0000-0000AC0E0000}"/>
    <cellStyle name="Normal 2 4 2 3 2 2 2 6 2 2" xfId="15190" xr:uid="{F1E7B857-C152-4746-A288-0EEE7C5FB47E}"/>
    <cellStyle name="Normal 2 4 2 3 2 2 2 6 3" xfId="10975" xr:uid="{28928AE4-7016-470B-90A7-1CD6302006D3}"/>
    <cellStyle name="Normal 2 4 2 3 2 2 2 7" xfId="4677" xr:uid="{00000000-0005-0000-0000-0000AD0E0000}"/>
    <cellStyle name="Normal 2 4 2 3 2 2 2 7 2" xfId="13124" xr:uid="{D935AEFC-1ED2-423E-A7BB-AA3042230991}"/>
    <cellStyle name="Normal 2 4 2 3 2 2 2 8" xfId="8909" xr:uid="{C6D8BAFA-B83C-4018-8542-BF3870980C2C}"/>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2" xr:uid="{787EEBDA-A4AC-4DBB-99B3-9FA94C78484B}"/>
    <cellStyle name="Normal 2 4 2 3 2 2 3 2 3" xfId="11467" xr:uid="{2312771B-727C-4E30-B864-C9D188AF21C9}"/>
    <cellStyle name="Normal 2 4 2 3 2 2 3 3" xfId="5090" xr:uid="{00000000-0005-0000-0000-0000B10E0000}"/>
    <cellStyle name="Normal 2 4 2 3 2 2 3 3 2" xfId="13537" xr:uid="{5B3F37DD-B4E1-469B-9FA7-179006AB0F67}"/>
    <cellStyle name="Normal 2 4 2 3 2 2 3 4" xfId="9322" xr:uid="{7C7E84AE-3235-4006-9157-CF24BE5DBD0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5" xr:uid="{2BDED3B8-C24B-43AA-946A-5185BB709906}"/>
    <cellStyle name="Normal 2 4 2 3 2 2 4 2 3" xfId="11880" xr:uid="{ABE5FAAF-504D-4667-8259-85F2D1FF9DAA}"/>
    <cellStyle name="Normal 2 4 2 3 2 2 4 3" xfId="5503" xr:uid="{00000000-0005-0000-0000-0000B50E0000}"/>
    <cellStyle name="Normal 2 4 2 3 2 2 4 3 2" xfId="13950" xr:uid="{51BC03F8-5E6E-4942-BD40-8555610771BD}"/>
    <cellStyle name="Normal 2 4 2 3 2 2 4 4" xfId="9735" xr:uid="{7A55F867-4D88-4684-8BFB-329EA199B8EF}"/>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08" xr:uid="{9BDB3F1B-4D1A-4A2B-8655-5AED55757F8C}"/>
    <cellStyle name="Normal 2 4 2 3 2 2 5 2 3" xfId="12293" xr:uid="{A246482F-4FDA-4E9A-887D-8E26F030A8F2}"/>
    <cellStyle name="Normal 2 4 2 3 2 2 5 3" xfId="5916" xr:uid="{00000000-0005-0000-0000-0000B90E0000}"/>
    <cellStyle name="Normal 2 4 2 3 2 2 5 3 2" xfId="14363" xr:uid="{5469A5A5-5884-4BFA-B519-081F8588D995}"/>
    <cellStyle name="Normal 2 4 2 3 2 2 5 4" xfId="10148" xr:uid="{526A19CE-254A-4E7B-9A0D-3E24ECC358BF}"/>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1" xr:uid="{3DDA4E73-4DAC-4BD3-9403-A23B3BB3BBE1}"/>
    <cellStyle name="Normal 2 4 2 3 2 2 6 2 3" xfId="12706" xr:uid="{D36D20B4-CA59-45DB-AD62-229A3B01934B}"/>
    <cellStyle name="Normal 2 4 2 3 2 2 6 3" xfId="6329" xr:uid="{00000000-0005-0000-0000-0000BD0E0000}"/>
    <cellStyle name="Normal 2 4 2 3 2 2 6 3 2" xfId="14776" xr:uid="{F2F6D6B3-1214-4418-8EF7-7DDDFF941737}"/>
    <cellStyle name="Normal 2 4 2 3 2 2 6 4" xfId="10561" xr:uid="{5F1042EC-14E2-4859-AB79-87F0E2C96201}"/>
    <cellStyle name="Normal 2 4 2 3 2 2 7" xfId="2459" xr:uid="{00000000-0005-0000-0000-0000BE0E0000}"/>
    <cellStyle name="Normal 2 4 2 3 2 2 7 2" xfId="6742" xr:uid="{00000000-0005-0000-0000-0000BF0E0000}"/>
    <cellStyle name="Normal 2 4 2 3 2 2 7 2 2" xfId="15189" xr:uid="{101BCF65-3992-4922-A0FF-EA4D24E5D938}"/>
    <cellStyle name="Normal 2 4 2 3 2 2 7 3" xfId="10974" xr:uid="{C467EEF2-A76C-4C0E-8EA0-7CB915524DE9}"/>
    <cellStyle name="Normal 2 4 2 3 2 2 8" xfId="4676" xr:uid="{00000000-0005-0000-0000-0000C00E0000}"/>
    <cellStyle name="Normal 2 4 2 3 2 2 8 2" xfId="13123" xr:uid="{D24E97F5-8C01-4FDA-AE1F-BA434151E112}"/>
    <cellStyle name="Normal 2 4 2 3 2 2 9" xfId="8908" xr:uid="{1CA81D55-12E0-49FE-AD2A-1E9F03E15526}"/>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4" xr:uid="{F62348A4-44D4-43D5-B5C7-B60D72AF05E8}"/>
    <cellStyle name="Normal 2 4 2 3 2 3 2 2 3" xfId="11469" xr:uid="{430D0002-E242-49A5-97A3-13E2E4D4E4D0}"/>
    <cellStyle name="Normal 2 4 2 3 2 3 2 3" xfId="5092" xr:uid="{00000000-0005-0000-0000-0000C50E0000}"/>
    <cellStyle name="Normal 2 4 2 3 2 3 2 3 2" xfId="13539" xr:uid="{19AF4CBA-1D3F-4826-8CD3-812908CFAE91}"/>
    <cellStyle name="Normal 2 4 2 3 2 3 2 4" xfId="9324" xr:uid="{AAF1D5DA-FBE3-4D9D-BA8F-7BB5F675D84C}"/>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097" xr:uid="{ECCD513B-5C8A-4C16-9F81-67E0AA351D8B}"/>
    <cellStyle name="Normal 2 4 2 3 2 3 3 2 3" xfId="11882" xr:uid="{FC388AA5-73FA-4A24-9D0B-7D8DD0405334}"/>
    <cellStyle name="Normal 2 4 2 3 2 3 3 3" xfId="5505" xr:uid="{00000000-0005-0000-0000-0000C90E0000}"/>
    <cellStyle name="Normal 2 4 2 3 2 3 3 3 2" xfId="13952" xr:uid="{608DD22B-86D7-4613-AC00-FD97F9ACE880}"/>
    <cellStyle name="Normal 2 4 2 3 2 3 3 4" xfId="9737" xr:uid="{5E6514A6-0098-41C5-873C-CA3006236C94}"/>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0" xr:uid="{92803980-00AE-42F5-A903-1D40D185F83E}"/>
    <cellStyle name="Normal 2 4 2 3 2 3 4 2 3" xfId="12295" xr:uid="{93C83793-E85E-4747-AB62-EAC4CEF0D09F}"/>
    <cellStyle name="Normal 2 4 2 3 2 3 4 3" xfId="5918" xr:uid="{00000000-0005-0000-0000-0000CD0E0000}"/>
    <cellStyle name="Normal 2 4 2 3 2 3 4 3 2" xfId="14365" xr:uid="{FE0E4032-E379-449C-A4D9-08BA463EFC6F}"/>
    <cellStyle name="Normal 2 4 2 3 2 3 4 4" xfId="10150" xr:uid="{47935045-595E-4899-B4F1-70486E5CF017}"/>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3" xr:uid="{0A71D0D1-8634-4EE6-8659-28234F60C1F2}"/>
    <cellStyle name="Normal 2 4 2 3 2 3 5 2 3" xfId="12708" xr:uid="{4A227995-DE0E-42A9-A71B-01D6743B006A}"/>
    <cellStyle name="Normal 2 4 2 3 2 3 5 3" xfId="6331" xr:uid="{00000000-0005-0000-0000-0000D10E0000}"/>
    <cellStyle name="Normal 2 4 2 3 2 3 5 3 2" xfId="14778" xr:uid="{EC31975A-A369-4B16-928A-1ACBC2A6442C}"/>
    <cellStyle name="Normal 2 4 2 3 2 3 5 4" xfId="10563" xr:uid="{1A6DA0DF-0D19-4B0C-9672-9043ED8E0A53}"/>
    <cellStyle name="Normal 2 4 2 3 2 3 6" xfId="2461" xr:uid="{00000000-0005-0000-0000-0000D20E0000}"/>
    <cellStyle name="Normal 2 4 2 3 2 3 6 2" xfId="6744" xr:uid="{00000000-0005-0000-0000-0000D30E0000}"/>
    <cellStyle name="Normal 2 4 2 3 2 3 6 2 2" xfId="15191" xr:uid="{BA6290DF-3258-4014-855F-ED58CE22EEDE}"/>
    <cellStyle name="Normal 2 4 2 3 2 3 6 3" xfId="10976" xr:uid="{D52551DA-3439-482B-BC92-059546C306D1}"/>
    <cellStyle name="Normal 2 4 2 3 2 3 7" xfId="4678" xr:uid="{00000000-0005-0000-0000-0000D40E0000}"/>
    <cellStyle name="Normal 2 4 2 3 2 3 7 2" xfId="13125" xr:uid="{A992B16D-643B-4920-A1A1-AA4B948CA40A}"/>
    <cellStyle name="Normal 2 4 2 3 2 3 8" xfId="8910" xr:uid="{A5C268A7-DE07-49F6-B6F2-B9D007315D49}"/>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1" xr:uid="{849B8043-E21A-4787-8251-50E6D098FC3C}"/>
    <cellStyle name="Normal 2 4 2 3 2 4 2 3" xfId="11466" xr:uid="{628AB75B-3AC9-4CE3-A794-C897911488E9}"/>
    <cellStyle name="Normal 2 4 2 3 2 4 3" xfId="5089" xr:uid="{00000000-0005-0000-0000-0000D80E0000}"/>
    <cellStyle name="Normal 2 4 2 3 2 4 3 2" xfId="13536" xr:uid="{3617E66C-4046-4BA8-9EFA-009A379D5365}"/>
    <cellStyle name="Normal 2 4 2 3 2 4 4" xfId="9321" xr:uid="{87428F59-FF3D-4BD7-A861-7CEDB99F763F}"/>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4" xr:uid="{56035BE9-C97C-4B5A-9404-7CA56F58E841}"/>
    <cellStyle name="Normal 2 4 2 3 2 5 2 3" xfId="11879" xr:uid="{45051E59-3E4D-43D8-BE12-B3E621C7F1CD}"/>
    <cellStyle name="Normal 2 4 2 3 2 5 3" xfId="5502" xr:uid="{00000000-0005-0000-0000-0000DC0E0000}"/>
    <cellStyle name="Normal 2 4 2 3 2 5 3 2" xfId="13949" xr:uid="{9D391BE6-D78C-46B9-A591-B89363EA71E7}"/>
    <cellStyle name="Normal 2 4 2 3 2 5 4" xfId="9734" xr:uid="{D8A75B70-12BA-49A8-A18D-136F11F5DBA8}"/>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07" xr:uid="{AAD3EEF3-E641-4D05-8439-4FB98E4AD3DE}"/>
    <cellStyle name="Normal 2 4 2 3 2 6 2 3" xfId="12292" xr:uid="{525AFAF1-D461-4AF3-B330-BFFA5A78B901}"/>
    <cellStyle name="Normal 2 4 2 3 2 6 3" xfId="5915" xr:uid="{00000000-0005-0000-0000-0000E00E0000}"/>
    <cellStyle name="Normal 2 4 2 3 2 6 3 2" xfId="14362" xr:uid="{2AFC6165-D1B9-408E-93AD-3130DA17B5E6}"/>
    <cellStyle name="Normal 2 4 2 3 2 6 4" xfId="10147" xr:uid="{1287E9CE-B7D5-489B-87B5-C90C07E6AE92}"/>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0" xr:uid="{A47AC4D3-420B-4475-8F25-AB77B7FB967D}"/>
    <cellStyle name="Normal 2 4 2 3 2 7 2 3" xfId="12705" xr:uid="{F3570AAD-B01E-474A-BA79-F818E8EAA9EA}"/>
    <cellStyle name="Normal 2 4 2 3 2 7 3" xfId="6328" xr:uid="{00000000-0005-0000-0000-0000E40E0000}"/>
    <cellStyle name="Normal 2 4 2 3 2 7 3 2" xfId="14775" xr:uid="{2D4C89F8-5CDE-4FDD-BA84-FD48E7C7150F}"/>
    <cellStyle name="Normal 2 4 2 3 2 7 4" xfId="10560" xr:uid="{0C1C53ED-0CE0-458B-8B7A-50D0C676CB01}"/>
    <cellStyle name="Normal 2 4 2 3 2 8" xfId="2458" xr:uid="{00000000-0005-0000-0000-0000E50E0000}"/>
    <cellStyle name="Normal 2 4 2 3 2 8 2" xfId="6741" xr:uid="{00000000-0005-0000-0000-0000E60E0000}"/>
    <cellStyle name="Normal 2 4 2 3 2 8 2 2" xfId="15188" xr:uid="{019D5914-1092-46E2-B655-7AEDE88FA582}"/>
    <cellStyle name="Normal 2 4 2 3 2 8 3" xfId="10973" xr:uid="{B36F605C-8FE2-4215-AD8E-5849C50ED319}"/>
    <cellStyle name="Normal 2 4 2 3 2 9" xfId="4675" xr:uid="{00000000-0005-0000-0000-0000E70E0000}"/>
    <cellStyle name="Normal 2 4 2 3 2 9 2" xfId="13122" xr:uid="{A3BF19BD-124A-44C6-9EC8-9B103809B051}"/>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6" xr:uid="{00F92809-32EF-47A4-9215-B48F044269A4}"/>
    <cellStyle name="Normal 2 4 2 3 3 2 2 2 3" xfId="11471" xr:uid="{FE5E55F9-EB59-480A-9F37-B70E530EBC21}"/>
    <cellStyle name="Normal 2 4 2 3 3 2 2 3" xfId="5094" xr:uid="{00000000-0005-0000-0000-0000ED0E0000}"/>
    <cellStyle name="Normal 2 4 2 3 3 2 2 3 2" xfId="13541" xr:uid="{6F45476D-139C-4A6D-BB33-0C89BBCBB355}"/>
    <cellStyle name="Normal 2 4 2 3 3 2 2 4" xfId="9326" xr:uid="{17CEACC8-D4EF-41F7-9938-746887B25DC5}"/>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099" xr:uid="{778820DA-0789-4DF1-8FF4-21D482968B4A}"/>
    <cellStyle name="Normal 2 4 2 3 3 2 3 2 3" xfId="11884" xr:uid="{60983C65-5578-4305-BE56-783183C65DC1}"/>
    <cellStyle name="Normal 2 4 2 3 3 2 3 3" xfId="5507" xr:uid="{00000000-0005-0000-0000-0000F10E0000}"/>
    <cellStyle name="Normal 2 4 2 3 3 2 3 3 2" xfId="13954" xr:uid="{4CD61293-480F-4E48-B7CA-F187AFC94C1F}"/>
    <cellStyle name="Normal 2 4 2 3 3 2 3 4" xfId="9739" xr:uid="{F985C9CD-E908-4AB2-9A16-83A49F5EE506}"/>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2" xr:uid="{34936EE6-7288-4F56-874D-C8DC848A5664}"/>
    <cellStyle name="Normal 2 4 2 3 3 2 4 2 3" xfId="12297" xr:uid="{EBB3C950-17B6-4312-8DA2-AEAE5501312C}"/>
    <cellStyle name="Normal 2 4 2 3 3 2 4 3" xfId="5920" xr:uid="{00000000-0005-0000-0000-0000F50E0000}"/>
    <cellStyle name="Normal 2 4 2 3 3 2 4 3 2" xfId="14367" xr:uid="{31FA532B-86CE-47AD-AA3B-1FCC0C2FC10F}"/>
    <cellStyle name="Normal 2 4 2 3 3 2 4 4" xfId="10152" xr:uid="{986A42BC-E3AC-4F70-A363-26429CE95549}"/>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5" xr:uid="{7B98F5C4-4038-4A4E-BC89-E3BC4BBE281F}"/>
    <cellStyle name="Normal 2 4 2 3 3 2 5 2 3" xfId="12710" xr:uid="{F7BA0E9E-6E3F-4D40-8C5E-1A2D4F440974}"/>
    <cellStyle name="Normal 2 4 2 3 3 2 5 3" xfId="6333" xr:uid="{00000000-0005-0000-0000-0000F90E0000}"/>
    <cellStyle name="Normal 2 4 2 3 3 2 5 3 2" xfId="14780" xr:uid="{86B5326B-21C9-4B28-9BA7-4DAD342AA553}"/>
    <cellStyle name="Normal 2 4 2 3 3 2 5 4" xfId="10565" xr:uid="{2A952B81-1048-43F3-A489-6FFE2B81901E}"/>
    <cellStyle name="Normal 2 4 2 3 3 2 6" xfId="2463" xr:uid="{00000000-0005-0000-0000-0000FA0E0000}"/>
    <cellStyle name="Normal 2 4 2 3 3 2 6 2" xfId="6746" xr:uid="{00000000-0005-0000-0000-0000FB0E0000}"/>
    <cellStyle name="Normal 2 4 2 3 3 2 6 2 2" xfId="15193" xr:uid="{815209D1-3B7A-4ED8-9CC8-D15EA2A223B3}"/>
    <cellStyle name="Normal 2 4 2 3 3 2 6 3" xfId="10978" xr:uid="{9DE102A3-9E44-4CAF-96C0-064DF20E0FB1}"/>
    <cellStyle name="Normal 2 4 2 3 3 2 7" xfId="4680" xr:uid="{00000000-0005-0000-0000-0000FC0E0000}"/>
    <cellStyle name="Normal 2 4 2 3 3 2 7 2" xfId="13127" xr:uid="{EBFEFB04-E58F-4C7F-B1AD-DF5C89D83D42}"/>
    <cellStyle name="Normal 2 4 2 3 3 2 8" xfId="8912" xr:uid="{6563495A-D0DA-430D-8CED-0FA2742D2ED7}"/>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5" xr:uid="{13B96CA2-D974-4499-9370-2A4516E3F7A2}"/>
    <cellStyle name="Normal 2 4 2 3 3 3 2 3" xfId="11470" xr:uid="{4C20EB1E-5610-48CD-802D-FC98D3D1272A}"/>
    <cellStyle name="Normal 2 4 2 3 3 3 3" xfId="5093" xr:uid="{00000000-0005-0000-0000-0000000F0000}"/>
    <cellStyle name="Normal 2 4 2 3 3 3 3 2" xfId="13540" xr:uid="{4F6D2DDA-3B03-4E38-99A4-2D83A464739E}"/>
    <cellStyle name="Normal 2 4 2 3 3 3 4" xfId="9325" xr:uid="{825E28D3-B90A-40F4-8C48-8395B1C13549}"/>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098" xr:uid="{F4660450-DDB4-40FD-A1A2-9C0EEBE4C970}"/>
    <cellStyle name="Normal 2 4 2 3 3 4 2 3" xfId="11883" xr:uid="{9BD13813-B927-4646-81A8-8D30FDEF2931}"/>
    <cellStyle name="Normal 2 4 2 3 3 4 3" xfId="5506" xr:uid="{00000000-0005-0000-0000-0000040F0000}"/>
    <cellStyle name="Normal 2 4 2 3 3 4 3 2" xfId="13953" xr:uid="{222CC30E-5971-478A-A1BF-67EF21867C7B}"/>
    <cellStyle name="Normal 2 4 2 3 3 4 4" xfId="9738" xr:uid="{928565A0-105C-4F25-B8BE-7DA8FECA104D}"/>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1" xr:uid="{6E6943F0-1D1D-4F8D-953E-F51AD3C8B2FA}"/>
    <cellStyle name="Normal 2 4 2 3 3 5 2 3" xfId="12296" xr:uid="{47658868-7BD2-4EDC-A0E6-9D529FEE61D6}"/>
    <cellStyle name="Normal 2 4 2 3 3 5 3" xfId="5919" xr:uid="{00000000-0005-0000-0000-0000080F0000}"/>
    <cellStyle name="Normal 2 4 2 3 3 5 3 2" xfId="14366" xr:uid="{776AD44E-4B8D-4891-9F41-34933DB96F13}"/>
    <cellStyle name="Normal 2 4 2 3 3 5 4" xfId="10151" xr:uid="{E1CE52EF-4C6B-438F-8DFE-2A7553058AFF}"/>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4" xr:uid="{CF780688-B9CA-4B1D-8473-FBD5C2F7202C}"/>
    <cellStyle name="Normal 2 4 2 3 3 6 2 3" xfId="12709" xr:uid="{2766B248-C38B-47D2-9F1C-621606667345}"/>
    <cellStyle name="Normal 2 4 2 3 3 6 3" xfId="6332" xr:uid="{00000000-0005-0000-0000-00000C0F0000}"/>
    <cellStyle name="Normal 2 4 2 3 3 6 3 2" xfId="14779" xr:uid="{41D36FCC-98DE-4F6F-816E-B21F3702C61F}"/>
    <cellStyle name="Normal 2 4 2 3 3 6 4" xfId="10564" xr:uid="{2B3E704D-8DD3-4FBC-9055-A5355CC06C24}"/>
    <cellStyle name="Normal 2 4 2 3 3 7" xfId="2462" xr:uid="{00000000-0005-0000-0000-00000D0F0000}"/>
    <cellStyle name="Normal 2 4 2 3 3 7 2" xfId="6745" xr:uid="{00000000-0005-0000-0000-00000E0F0000}"/>
    <cellStyle name="Normal 2 4 2 3 3 7 2 2" xfId="15192" xr:uid="{4ECD5FB3-B42D-4130-B970-645DF4997AB0}"/>
    <cellStyle name="Normal 2 4 2 3 3 7 3" xfId="10977" xr:uid="{33CAEE8B-70BA-4DDB-BADE-7BCFA0D73084}"/>
    <cellStyle name="Normal 2 4 2 3 3 8" xfId="4679" xr:uid="{00000000-0005-0000-0000-00000F0F0000}"/>
    <cellStyle name="Normal 2 4 2 3 3 8 2" xfId="13126" xr:uid="{10F937EB-BD79-41C8-87E6-8937A6778858}"/>
    <cellStyle name="Normal 2 4 2 3 3 9" xfId="8911" xr:uid="{E825832E-861A-41EE-AEC0-FBC88263281E}"/>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87" xr:uid="{31AA334F-0B48-46B4-BB01-38E3AF90680B}"/>
    <cellStyle name="Normal 2 4 2 3 4 2 2 3" xfId="11472" xr:uid="{627D669B-31C4-43F8-B114-36CA0A39F984}"/>
    <cellStyle name="Normal 2 4 2 3 4 2 3" xfId="5095" xr:uid="{00000000-0005-0000-0000-0000140F0000}"/>
    <cellStyle name="Normal 2 4 2 3 4 2 3 2" xfId="13542" xr:uid="{B2DAB325-29D9-41E3-8E59-8565E77EDE86}"/>
    <cellStyle name="Normal 2 4 2 3 4 2 4" xfId="9327" xr:uid="{0F01B23D-7DB5-4AB5-B796-C161755D2185}"/>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0" xr:uid="{6194C2B4-E932-4B98-BD99-188A9F72ED94}"/>
    <cellStyle name="Normal 2 4 2 3 4 3 2 3" xfId="11885" xr:uid="{82E5C3BE-0500-4BEA-9079-4A924086666C}"/>
    <cellStyle name="Normal 2 4 2 3 4 3 3" xfId="5508" xr:uid="{00000000-0005-0000-0000-0000180F0000}"/>
    <cellStyle name="Normal 2 4 2 3 4 3 3 2" xfId="13955" xr:uid="{5E95AF73-2592-4C7C-A96C-A2D30A896A80}"/>
    <cellStyle name="Normal 2 4 2 3 4 3 4" xfId="9740" xr:uid="{BB9D1C9B-D5DF-49D2-BD5F-D9FA9A52DE42}"/>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3" xr:uid="{78C6D432-C8DD-4334-B61B-BC4B6409A609}"/>
    <cellStyle name="Normal 2 4 2 3 4 4 2 3" xfId="12298" xr:uid="{3456046C-5FF1-4933-9FF5-C2DD2367EFEE}"/>
    <cellStyle name="Normal 2 4 2 3 4 4 3" xfId="5921" xr:uid="{00000000-0005-0000-0000-00001C0F0000}"/>
    <cellStyle name="Normal 2 4 2 3 4 4 3 2" xfId="14368" xr:uid="{8D7FCA47-5DA8-4671-9BBD-726FAA6E4A78}"/>
    <cellStyle name="Normal 2 4 2 3 4 4 4" xfId="10153" xr:uid="{A4E0BFCA-A2E3-430C-ADED-914A429BB6EA}"/>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6" xr:uid="{408C0BF1-DB80-465F-B6BD-93BD851CB422}"/>
    <cellStyle name="Normal 2 4 2 3 4 5 2 3" xfId="12711" xr:uid="{5C0B549E-25D2-41D7-90A6-F57F4BBF5170}"/>
    <cellStyle name="Normal 2 4 2 3 4 5 3" xfId="6334" xr:uid="{00000000-0005-0000-0000-0000200F0000}"/>
    <cellStyle name="Normal 2 4 2 3 4 5 3 2" xfId="14781" xr:uid="{9BB1BC04-67E1-4006-A3D2-F4BA87070EE4}"/>
    <cellStyle name="Normal 2 4 2 3 4 5 4" xfId="10566" xr:uid="{125620C1-92F9-421D-A700-2579B0FABF09}"/>
    <cellStyle name="Normal 2 4 2 3 4 6" xfId="2464" xr:uid="{00000000-0005-0000-0000-0000210F0000}"/>
    <cellStyle name="Normal 2 4 2 3 4 6 2" xfId="6747" xr:uid="{00000000-0005-0000-0000-0000220F0000}"/>
    <cellStyle name="Normal 2 4 2 3 4 6 2 2" xfId="15194" xr:uid="{49601718-0ECC-4A4D-8E3A-142246C1145F}"/>
    <cellStyle name="Normal 2 4 2 3 4 6 3" xfId="10979" xr:uid="{97B9DDEC-E0EB-4CE4-8EF0-0BD44E961616}"/>
    <cellStyle name="Normal 2 4 2 3 4 7" xfId="4681" xr:uid="{00000000-0005-0000-0000-0000230F0000}"/>
    <cellStyle name="Normal 2 4 2 3 4 7 2" xfId="13128" xr:uid="{2D003BFF-334D-4DC4-A574-87ED3A096B3A}"/>
    <cellStyle name="Normal 2 4 2 3 4 8" xfId="8913" xr:uid="{43FB24FA-7969-4EF8-BEBC-BD7ADF7B132D}"/>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0" xr:uid="{DA7EAD98-D736-4AB8-8B24-530BED13946D}"/>
    <cellStyle name="Normal 2 4 2 3 5 2 3" xfId="11465" xr:uid="{F000E0B0-F383-43AF-AB90-7D1AF7544B00}"/>
    <cellStyle name="Normal 2 4 2 3 5 3" xfId="5088" xr:uid="{00000000-0005-0000-0000-0000270F0000}"/>
    <cellStyle name="Normal 2 4 2 3 5 3 2" xfId="13535" xr:uid="{7C5A89CF-E6AD-46DE-9475-F0656093988E}"/>
    <cellStyle name="Normal 2 4 2 3 5 4" xfId="9320" xr:uid="{3D269C97-712D-4CBD-9D19-56055A027AAE}"/>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3" xr:uid="{013C8D6B-33E7-4B3A-B56D-2A568A64B171}"/>
    <cellStyle name="Normal 2 4 2 3 6 2 3" xfId="11878" xr:uid="{277DA088-3F30-4ABC-B8AB-45B83B5A20AC}"/>
    <cellStyle name="Normal 2 4 2 3 6 3" xfId="5501" xr:uid="{00000000-0005-0000-0000-00002B0F0000}"/>
    <cellStyle name="Normal 2 4 2 3 6 3 2" xfId="13948" xr:uid="{9267D225-2B58-493A-A03A-EEB7B3949825}"/>
    <cellStyle name="Normal 2 4 2 3 6 4" xfId="9733" xr:uid="{5054A8E4-AC0B-4DA6-AF96-FACCBF66E7EF}"/>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6" xr:uid="{75899C9F-8A1C-41CA-80E7-F6E50224BF4F}"/>
    <cellStyle name="Normal 2 4 2 3 7 2 3" xfId="12291" xr:uid="{B2A014C1-A03C-420A-8FC3-DB7E8976CEE5}"/>
    <cellStyle name="Normal 2 4 2 3 7 3" xfId="5914" xr:uid="{00000000-0005-0000-0000-00002F0F0000}"/>
    <cellStyle name="Normal 2 4 2 3 7 3 2" xfId="14361" xr:uid="{A0989223-390D-4352-88BD-2FFC9BC1C199}"/>
    <cellStyle name="Normal 2 4 2 3 7 4" xfId="10146" xr:uid="{B6B8413A-B726-425A-A5B2-A9B963EBFF50}"/>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19" xr:uid="{6EED0BF6-5D01-4D81-83E4-DE8268384B87}"/>
    <cellStyle name="Normal 2 4 2 3 8 2 3" xfId="12704" xr:uid="{0B4EBB9E-3AC2-4201-BD52-3C1F74856067}"/>
    <cellStyle name="Normal 2 4 2 3 8 3" xfId="6327" xr:uid="{00000000-0005-0000-0000-0000330F0000}"/>
    <cellStyle name="Normal 2 4 2 3 8 3 2" xfId="14774" xr:uid="{EC54A93A-B405-4E03-B06C-D60ABD1EE3A4}"/>
    <cellStyle name="Normal 2 4 2 3 8 4" xfId="10559" xr:uid="{63BFBE42-2496-4114-96D0-738ECF805D4D}"/>
    <cellStyle name="Normal 2 4 2 3 9" xfId="2457" xr:uid="{00000000-0005-0000-0000-0000340F0000}"/>
    <cellStyle name="Normal 2 4 2 3 9 2" xfId="6740" xr:uid="{00000000-0005-0000-0000-0000350F0000}"/>
    <cellStyle name="Normal 2 4 2 3 9 2 2" xfId="15187" xr:uid="{0C5C5FDF-12C5-4BED-B48C-0559BD2DEABE}"/>
    <cellStyle name="Normal 2 4 2 3 9 3" xfId="10972" xr:uid="{8AB36C00-2AAF-4A5C-8FAA-04E30EDE675A}"/>
    <cellStyle name="Normal 2 4 2 4" xfId="289" xr:uid="{00000000-0005-0000-0000-0000360F0000}"/>
    <cellStyle name="Normal 2 4 2 4 10" xfId="8914" xr:uid="{A7C955DC-7AA6-4C3E-8226-A64F97D77981}"/>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0" xr:uid="{1DE5D58F-4A0E-4CD6-8B70-680B9C701700}"/>
    <cellStyle name="Normal 2 4 2 4 2 2 2 2 3" xfId="11475" xr:uid="{23EC13D1-E401-46B5-B359-A65E8C636395}"/>
    <cellStyle name="Normal 2 4 2 4 2 2 2 3" xfId="5098" xr:uid="{00000000-0005-0000-0000-00003C0F0000}"/>
    <cellStyle name="Normal 2 4 2 4 2 2 2 3 2" xfId="13545" xr:uid="{FC15513E-88AB-4A61-AB53-BF1AE45B7767}"/>
    <cellStyle name="Normal 2 4 2 4 2 2 2 4" xfId="9330" xr:uid="{949577CD-5A5D-4D42-AB5A-7FE99147943D}"/>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3" xr:uid="{87E60668-16EB-468F-919B-3F74093DD9C1}"/>
    <cellStyle name="Normal 2 4 2 4 2 2 3 2 3" xfId="11888" xr:uid="{E0FF4287-93E8-4C89-B068-8D5F0F634051}"/>
    <cellStyle name="Normal 2 4 2 4 2 2 3 3" xfId="5511" xr:uid="{00000000-0005-0000-0000-0000400F0000}"/>
    <cellStyle name="Normal 2 4 2 4 2 2 3 3 2" xfId="13958" xr:uid="{CCEBD858-D728-4131-8AEB-7C756262EA2B}"/>
    <cellStyle name="Normal 2 4 2 4 2 2 3 4" xfId="9743" xr:uid="{5FBAE6B7-0CF5-4F08-9590-61FF2F25718E}"/>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6" xr:uid="{A6E09797-6015-40CC-898E-317E35D850D3}"/>
    <cellStyle name="Normal 2 4 2 4 2 2 4 2 3" xfId="12301" xr:uid="{AACF9DB4-0332-4F9F-84B5-BFA8959F5206}"/>
    <cellStyle name="Normal 2 4 2 4 2 2 4 3" xfId="5924" xr:uid="{00000000-0005-0000-0000-0000440F0000}"/>
    <cellStyle name="Normal 2 4 2 4 2 2 4 3 2" xfId="14371" xr:uid="{85020B01-A32C-49A2-93D8-B3EB6F15ABA2}"/>
    <cellStyle name="Normal 2 4 2 4 2 2 4 4" xfId="10156" xr:uid="{48446D45-EBEC-49FB-9EE3-B55FCFCB6F05}"/>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29" xr:uid="{65B0D485-A817-4995-9322-277FB043D376}"/>
    <cellStyle name="Normal 2 4 2 4 2 2 5 2 3" xfId="12714" xr:uid="{CD277A6F-010F-4097-8E83-D9B129410ABB}"/>
    <cellStyle name="Normal 2 4 2 4 2 2 5 3" xfId="6337" xr:uid="{00000000-0005-0000-0000-0000480F0000}"/>
    <cellStyle name="Normal 2 4 2 4 2 2 5 3 2" xfId="14784" xr:uid="{2B4DF804-062F-48D3-8605-0BE6554D745A}"/>
    <cellStyle name="Normal 2 4 2 4 2 2 5 4" xfId="10569" xr:uid="{5D97CE2A-B2B1-4EE7-A494-8DAF269B86FE}"/>
    <cellStyle name="Normal 2 4 2 4 2 2 6" xfId="2467" xr:uid="{00000000-0005-0000-0000-0000490F0000}"/>
    <cellStyle name="Normal 2 4 2 4 2 2 6 2" xfId="6750" xr:uid="{00000000-0005-0000-0000-00004A0F0000}"/>
    <cellStyle name="Normal 2 4 2 4 2 2 6 2 2" xfId="15197" xr:uid="{7BF1085A-B21F-4168-90F8-269B1737685B}"/>
    <cellStyle name="Normal 2 4 2 4 2 2 6 3" xfId="10982" xr:uid="{B82E7486-464E-4246-8C63-EDA9C589E832}"/>
    <cellStyle name="Normal 2 4 2 4 2 2 7" xfId="4684" xr:uid="{00000000-0005-0000-0000-00004B0F0000}"/>
    <cellStyle name="Normal 2 4 2 4 2 2 7 2" xfId="13131" xr:uid="{9E79746A-6779-4C9D-8C26-0F3077937A87}"/>
    <cellStyle name="Normal 2 4 2 4 2 2 8" xfId="8916" xr:uid="{AA7444D1-98B4-48FD-A830-89D4D0EC651F}"/>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89" xr:uid="{4C1C42E3-A906-4E0D-86BC-AA65A7A5ED09}"/>
    <cellStyle name="Normal 2 4 2 4 2 3 2 3" xfId="11474" xr:uid="{F5EA9CCB-AFA6-4D60-B1D5-57111967282E}"/>
    <cellStyle name="Normal 2 4 2 4 2 3 3" xfId="5097" xr:uid="{00000000-0005-0000-0000-00004F0F0000}"/>
    <cellStyle name="Normal 2 4 2 4 2 3 3 2" xfId="13544" xr:uid="{90E6A70D-2052-47BE-9E05-4DB5D4881F65}"/>
    <cellStyle name="Normal 2 4 2 4 2 3 4" xfId="9329" xr:uid="{15B2DAFD-C145-4BA1-A4E8-DE2D44DB6CAE}"/>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2" xr:uid="{703BF2E5-2E76-4C1C-B77A-C09295277F47}"/>
    <cellStyle name="Normal 2 4 2 4 2 4 2 3" xfId="11887" xr:uid="{0921F421-0B01-4FE4-8268-38FCB3E930E9}"/>
    <cellStyle name="Normal 2 4 2 4 2 4 3" xfId="5510" xr:uid="{00000000-0005-0000-0000-0000530F0000}"/>
    <cellStyle name="Normal 2 4 2 4 2 4 3 2" xfId="13957" xr:uid="{34910789-7F29-4CCA-9675-2212CC3DAF8F}"/>
    <cellStyle name="Normal 2 4 2 4 2 4 4" xfId="9742" xr:uid="{902E5982-127F-486B-ABF0-A378B171DB32}"/>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5" xr:uid="{94AFDEC4-A6C3-43CD-8903-59FE0455E076}"/>
    <cellStyle name="Normal 2 4 2 4 2 5 2 3" xfId="12300" xr:uid="{A685CAE1-BF44-465F-9A60-BB319C1C8F01}"/>
    <cellStyle name="Normal 2 4 2 4 2 5 3" xfId="5923" xr:uid="{00000000-0005-0000-0000-0000570F0000}"/>
    <cellStyle name="Normal 2 4 2 4 2 5 3 2" xfId="14370" xr:uid="{58F7E487-7764-4B6F-96C1-B7CD299B1667}"/>
    <cellStyle name="Normal 2 4 2 4 2 5 4" xfId="10155" xr:uid="{672DC528-E746-4331-8412-933E492F0766}"/>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28" xr:uid="{96A32575-4AD8-43DE-AE02-AA965FE4A88A}"/>
    <cellStyle name="Normal 2 4 2 4 2 6 2 3" xfId="12713" xr:uid="{AB6A17AD-115B-453F-8404-C9FEDDC094CC}"/>
    <cellStyle name="Normal 2 4 2 4 2 6 3" xfId="6336" xr:uid="{00000000-0005-0000-0000-00005B0F0000}"/>
    <cellStyle name="Normal 2 4 2 4 2 6 3 2" xfId="14783" xr:uid="{F9F99055-3DDC-4C69-97CB-43A8302417A9}"/>
    <cellStyle name="Normal 2 4 2 4 2 6 4" xfId="10568" xr:uid="{67BE2312-0D67-49D7-B590-AE735C28BAB9}"/>
    <cellStyle name="Normal 2 4 2 4 2 7" xfId="2466" xr:uid="{00000000-0005-0000-0000-00005C0F0000}"/>
    <cellStyle name="Normal 2 4 2 4 2 7 2" xfId="6749" xr:uid="{00000000-0005-0000-0000-00005D0F0000}"/>
    <cellStyle name="Normal 2 4 2 4 2 7 2 2" xfId="15196" xr:uid="{BC42D1B6-2407-48E7-A3E5-C1A009D8C045}"/>
    <cellStyle name="Normal 2 4 2 4 2 7 3" xfId="10981" xr:uid="{8D1207A4-F3EA-4D04-AF16-5D113ECB946F}"/>
    <cellStyle name="Normal 2 4 2 4 2 8" xfId="4683" xr:uid="{00000000-0005-0000-0000-00005E0F0000}"/>
    <cellStyle name="Normal 2 4 2 4 2 8 2" xfId="13130" xr:uid="{500A0D31-ACBF-4E67-AF3C-8BEF35C7E216}"/>
    <cellStyle name="Normal 2 4 2 4 2 9" xfId="8915" xr:uid="{F37E500F-9323-4C73-AD8F-6F7BD9CC3148}"/>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1" xr:uid="{EE97E3DD-2039-4E06-9543-BFDA2CA54C20}"/>
    <cellStyle name="Normal 2 4 2 4 3 2 2 3" xfId="11476" xr:uid="{F2E3596A-AFC6-421D-9BFC-420CC68F2ECA}"/>
    <cellStyle name="Normal 2 4 2 4 3 2 3" xfId="5099" xr:uid="{00000000-0005-0000-0000-0000630F0000}"/>
    <cellStyle name="Normal 2 4 2 4 3 2 3 2" xfId="13546" xr:uid="{3076A0F0-8159-4EE6-ADDA-86B59DA4B0E7}"/>
    <cellStyle name="Normal 2 4 2 4 3 2 4" xfId="9331" xr:uid="{AC707C64-FAC9-4E0D-A110-FC28E5B129FD}"/>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4" xr:uid="{CC57EF18-6948-4371-9C4A-206BBDF40BA1}"/>
    <cellStyle name="Normal 2 4 2 4 3 3 2 3" xfId="11889" xr:uid="{F2C15C36-A4C3-4BBA-87AE-237CDD879B11}"/>
    <cellStyle name="Normal 2 4 2 4 3 3 3" xfId="5512" xr:uid="{00000000-0005-0000-0000-0000670F0000}"/>
    <cellStyle name="Normal 2 4 2 4 3 3 3 2" xfId="13959" xr:uid="{28F22001-4D24-4EFF-AEF3-D690FA9C91A3}"/>
    <cellStyle name="Normal 2 4 2 4 3 3 4" xfId="9744" xr:uid="{9A389ACE-8A9F-4B83-ADCE-7AC21B2D9BBF}"/>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17" xr:uid="{B2E07397-0CE6-4E90-898B-CB5DE9DCF129}"/>
    <cellStyle name="Normal 2 4 2 4 3 4 2 3" xfId="12302" xr:uid="{8C351B21-E29C-4BDA-9DF0-257A63771CDD}"/>
    <cellStyle name="Normal 2 4 2 4 3 4 3" xfId="5925" xr:uid="{00000000-0005-0000-0000-00006B0F0000}"/>
    <cellStyle name="Normal 2 4 2 4 3 4 3 2" xfId="14372" xr:uid="{5952DD3F-7447-4FD8-8FB8-EB6733A4FFFC}"/>
    <cellStyle name="Normal 2 4 2 4 3 4 4" xfId="10157" xr:uid="{72FA0996-A98D-4671-8BAE-703D72674BF7}"/>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0" xr:uid="{FA3AAA0F-8937-4621-A9BC-764CE785EBC9}"/>
    <cellStyle name="Normal 2 4 2 4 3 5 2 3" xfId="12715" xr:uid="{1AFD7237-CC23-4CC8-960C-4E6AB62294E0}"/>
    <cellStyle name="Normal 2 4 2 4 3 5 3" xfId="6338" xr:uid="{00000000-0005-0000-0000-00006F0F0000}"/>
    <cellStyle name="Normal 2 4 2 4 3 5 3 2" xfId="14785" xr:uid="{603AFE30-2B8A-4172-B755-797AD9EEDD2E}"/>
    <cellStyle name="Normal 2 4 2 4 3 5 4" xfId="10570" xr:uid="{45CE305E-5557-40E6-8D5C-A5C34415B569}"/>
    <cellStyle name="Normal 2 4 2 4 3 6" xfId="2468" xr:uid="{00000000-0005-0000-0000-0000700F0000}"/>
    <cellStyle name="Normal 2 4 2 4 3 6 2" xfId="6751" xr:uid="{00000000-0005-0000-0000-0000710F0000}"/>
    <cellStyle name="Normal 2 4 2 4 3 6 2 2" xfId="15198" xr:uid="{8F3FB58A-D277-4159-AD5C-0790DDC8F043}"/>
    <cellStyle name="Normal 2 4 2 4 3 6 3" xfId="10983" xr:uid="{3D710FE8-FD35-499A-B2EC-FEC50CFAD7D9}"/>
    <cellStyle name="Normal 2 4 2 4 3 7" xfId="4685" xr:uid="{00000000-0005-0000-0000-0000720F0000}"/>
    <cellStyle name="Normal 2 4 2 4 3 7 2" xfId="13132" xr:uid="{98C55ADD-73D8-456E-8499-FEE4A2FF944A}"/>
    <cellStyle name="Normal 2 4 2 4 3 8" xfId="8917" xr:uid="{94C3B0DE-645B-4C8D-A0FC-E016E4277850}"/>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88" xr:uid="{D18107B6-33A8-4DB1-9158-AA59EDF43F90}"/>
    <cellStyle name="Normal 2 4 2 4 4 2 3" xfId="11473" xr:uid="{736FB62E-5321-42C8-9C12-96F0080DDE37}"/>
    <cellStyle name="Normal 2 4 2 4 4 3" xfId="5096" xr:uid="{00000000-0005-0000-0000-0000760F0000}"/>
    <cellStyle name="Normal 2 4 2 4 4 3 2" xfId="13543" xr:uid="{44D2BF50-020D-4BE0-9A9F-7BF71A5378DA}"/>
    <cellStyle name="Normal 2 4 2 4 4 4" xfId="9328" xr:uid="{318B8ACB-A3D8-458B-A1B0-6115C0AB7DF6}"/>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1" xr:uid="{4400290B-8058-47BD-989E-CA787B6ABDCD}"/>
    <cellStyle name="Normal 2 4 2 4 5 2 3" xfId="11886" xr:uid="{6FF04A45-E298-4C41-A99F-A024614577A6}"/>
    <cellStyle name="Normal 2 4 2 4 5 3" xfId="5509" xr:uid="{00000000-0005-0000-0000-00007A0F0000}"/>
    <cellStyle name="Normal 2 4 2 4 5 3 2" xfId="13956" xr:uid="{B6FD2FCA-839C-41A5-B1C3-66F8EBF4B4A5}"/>
    <cellStyle name="Normal 2 4 2 4 5 4" xfId="9741" xr:uid="{BAE3DE36-C6DF-4676-B1AC-5B26FF1542F7}"/>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4" xr:uid="{5CD3B6C1-0D4A-451A-8102-59B1D16D506A}"/>
    <cellStyle name="Normal 2 4 2 4 6 2 3" xfId="12299" xr:uid="{6319A7F1-B673-49DC-A4D5-9090175BFCEC}"/>
    <cellStyle name="Normal 2 4 2 4 6 3" xfId="5922" xr:uid="{00000000-0005-0000-0000-00007E0F0000}"/>
    <cellStyle name="Normal 2 4 2 4 6 3 2" xfId="14369" xr:uid="{9DE25A1C-E00D-4006-A3E7-44CD67187DB6}"/>
    <cellStyle name="Normal 2 4 2 4 6 4" xfId="10154" xr:uid="{F8EBD1C6-9F72-4F11-9E3F-CA799298BDFD}"/>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27" xr:uid="{BC73D78A-D498-4B8B-BCE8-A295D760587E}"/>
    <cellStyle name="Normal 2 4 2 4 7 2 3" xfId="12712" xr:uid="{470D68BD-6096-41F8-B554-A35B343611C1}"/>
    <cellStyle name="Normal 2 4 2 4 7 3" xfId="6335" xr:uid="{00000000-0005-0000-0000-0000820F0000}"/>
    <cellStyle name="Normal 2 4 2 4 7 3 2" xfId="14782" xr:uid="{F794712A-8117-4273-983B-21CA7B9C3F85}"/>
    <cellStyle name="Normal 2 4 2 4 7 4" xfId="10567" xr:uid="{6F9971C0-B043-4776-A52D-27225E9F2968}"/>
    <cellStyle name="Normal 2 4 2 4 8" xfId="2465" xr:uid="{00000000-0005-0000-0000-0000830F0000}"/>
    <cellStyle name="Normal 2 4 2 4 8 2" xfId="6748" xr:uid="{00000000-0005-0000-0000-0000840F0000}"/>
    <cellStyle name="Normal 2 4 2 4 8 2 2" xfId="15195" xr:uid="{6B290011-F702-4F5B-8F3B-81CFC4E72D16}"/>
    <cellStyle name="Normal 2 4 2 4 8 3" xfId="10980" xr:uid="{620DCCD9-75AD-438D-970D-34EC652E9545}"/>
    <cellStyle name="Normal 2 4 2 4 9" xfId="4682" xr:uid="{00000000-0005-0000-0000-0000850F0000}"/>
    <cellStyle name="Normal 2 4 2 4 9 2" xfId="13129" xr:uid="{D1C56317-7846-464C-9D81-FAD902EDE02D}"/>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3" xr:uid="{A90DD1A4-0D92-4C3B-80A7-E02414B70659}"/>
    <cellStyle name="Normal 2 4 2 5 2 2 2 3" xfId="11478" xr:uid="{527EFA4F-8817-43A6-8CD5-A975D53DE8D7}"/>
    <cellStyle name="Normal 2 4 2 5 2 2 3" xfId="5101" xr:uid="{00000000-0005-0000-0000-00008B0F0000}"/>
    <cellStyle name="Normal 2 4 2 5 2 2 3 2" xfId="13548" xr:uid="{ED324E80-05BF-4628-BC80-83BC33BFAFEC}"/>
    <cellStyle name="Normal 2 4 2 5 2 2 4" xfId="9333" xr:uid="{7E880F40-E3F6-44D2-817A-533DE1CFE901}"/>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6" xr:uid="{9DE25724-1819-4A44-A840-1408347E76B7}"/>
    <cellStyle name="Normal 2 4 2 5 2 3 2 3" xfId="11891" xr:uid="{63EA9E7B-14D4-48A3-8F3B-A1194D046626}"/>
    <cellStyle name="Normal 2 4 2 5 2 3 3" xfId="5514" xr:uid="{00000000-0005-0000-0000-00008F0F0000}"/>
    <cellStyle name="Normal 2 4 2 5 2 3 3 2" xfId="13961" xr:uid="{0D72004A-FB1C-46B1-884E-E59E571D9A95}"/>
    <cellStyle name="Normal 2 4 2 5 2 3 4" xfId="9746" xr:uid="{8DCA793B-E0BC-4203-85B2-5E0FA65A7693}"/>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19" xr:uid="{00915E38-53C8-46FE-8546-2E929BB67823}"/>
    <cellStyle name="Normal 2 4 2 5 2 4 2 3" xfId="12304" xr:uid="{3005A053-C2FF-422D-80FD-829D254D9DAA}"/>
    <cellStyle name="Normal 2 4 2 5 2 4 3" xfId="5927" xr:uid="{00000000-0005-0000-0000-0000930F0000}"/>
    <cellStyle name="Normal 2 4 2 5 2 4 3 2" xfId="14374" xr:uid="{E7F59CDB-EDF5-481F-BD1B-B612E6549122}"/>
    <cellStyle name="Normal 2 4 2 5 2 4 4" xfId="10159" xr:uid="{4DF088F9-2699-4EFF-9BFC-4F35AB3EF72B}"/>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2" xr:uid="{341F9497-DABD-4EAA-B633-97347A2B0C15}"/>
    <cellStyle name="Normal 2 4 2 5 2 5 2 3" xfId="12717" xr:uid="{3675C111-6DB7-416B-889A-C59BE5C4C07B}"/>
    <cellStyle name="Normal 2 4 2 5 2 5 3" xfId="6340" xr:uid="{00000000-0005-0000-0000-0000970F0000}"/>
    <cellStyle name="Normal 2 4 2 5 2 5 3 2" xfId="14787" xr:uid="{59EAFE01-8F64-4078-9CC3-97567AE38224}"/>
    <cellStyle name="Normal 2 4 2 5 2 5 4" xfId="10572" xr:uid="{F7398D9E-5B9D-4B2B-AF52-F99890D4C2BF}"/>
    <cellStyle name="Normal 2 4 2 5 2 6" xfId="2470" xr:uid="{00000000-0005-0000-0000-0000980F0000}"/>
    <cellStyle name="Normal 2 4 2 5 2 6 2" xfId="6753" xr:uid="{00000000-0005-0000-0000-0000990F0000}"/>
    <cellStyle name="Normal 2 4 2 5 2 6 2 2" xfId="15200" xr:uid="{C3BDB397-47AF-4AB3-9839-A180B2F3A2AC}"/>
    <cellStyle name="Normal 2 4 2 5 2 6 3" xfId="10985" xr:uid="{2BF7CE25-BF1B-447C-9A9F-9FD26A9AAE64}"/>
    <cellStyle name="Normal 2 4 2 5 2 7" xfId="4687" xr:uid="{00000000-0005-0000-0000-00009A0F0000}"/>
    <cellStyle name="Normal 2 4 2 5 2 7 2" xfId="13134" xr:uid="{76D2F8F8-A94E-4F5C-890B-CAC558FC3FFD}"/>
    <cellStyle name="Normal 2 4 2 5 2 8" xfId="8919" xr:uid="{7A086181-B657-4B1A-93F8-538BB9B39060}"/>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2" xr:uid="{AA9BAAF7-D2B7-43E9-9414-4BCDA5B72F36}"/>
    <cellStyle name="Normal 2 4 2 5 3 2 3" xfId="11477" xr:uid="{1EC18452-83F7-4226-AC87-61105CA91CA5}"/>
    <cellStyle name="Normal 2 4 2 5 3 3" xfId="5100" xr:uid="{00000000-0005-0000-0000-00009E0F0000}"/>
    <cellStyle name="Normal 2 4 2 5 3 3 2" xfId="13547" xr:uid="{958A9B5A-BE60-4DD0-93F7-5F29D3D39BBB}"/>
    <cellStyle name="Normal 2 4 2 5 3 4" xfId="9332" xr:uid="{DFDDA761-8C5B-48D6-8D7C-58DB13BA9783}"/>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5" xr:uid="{6C2F3BA5-30D2-45A2-8973-C3C96C93C32F}"/>
    <cellStyle name="Normal 2 4 2 5 4 2 3" xfId="11890" xr:uid="{957EA6CA-5666-44B5-B50D-E6384F6C8544}"/>
    <cellStyle name="Normal 2 4 2 5 4 3" xfId="5513" xr:uid="{00000000-0005-0000-0000-0000A20F0000}"/>
    <cellStyle name="Normal 2 4 2 5 4 3 2" xfId="13960" xr:uid="{76F7C196-9E87-4163-8607-5FB161D42E28}"/>
    <cellStyle name="Normal 2 4 2 5 4 4" xfId="9745" xr:uid="{87C8990D-61EC-43FD-B1C5-AB0155455679}"/>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18" xr:uid="{FD7359A4-3584-4706-BBF9-6CC0BCCC0B21}"/>
    <cellStyle name="Normal 2 4 2 5 5 2 3" xfId="12303" xr:uid="{1FC9D9D7-0181-4E41-9873-348E4B81B873}"/>
    <cellStyle name="Normal 2 4 2 5 5 3" xfId="5926" xr:uid="{00000000-0005-0000-0000-0000A60F0000}"/>
    <cellStyle name="Normal 2 4 2 5 5 3 2" xfId="14373" xr:uid="{B14B6169-17F6-488D-A510-8956E273F59D}"/>
    <cellStyle name="Normal 2 4 2 5 5 4" xfId="10158" xr:uid="{7A4DC323-8560-4762-BC5C-439F2A8485B7}"/>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1" xr:uid="{C2F2DE44-DF22-4750-8EAB-95ADC702E34B}"/>
    <cellStyle name="Normal 2 4 2 5 6 2 3" xfId="12716" xr:uid="{3CC2B1F0-4294-484F-9AC1-7C7C8621B9C6}"/>
    <cellStyle name="Normal 2 4 2 5 6 3" xfId="6339" xr:uid="{00000000-0005-0000-0000-0000AA0F0000}"/>
    <cellStyle name="Normal 2 4 2 5 6 3 2" xfId="14786" xr:uid="{4F08B872-55EE-47ED-8668-FEEB4484B560}"/>
    <cellStyle name="Normal 2 4 2 5 6 4" xfId="10571" xr:uid="{1A752B4B-D263-4C3A-A504-5DEA07E7A798}"/>
    <cellStyle name="Normal 2 4 2 5 7" xfId="2469" xr:uid="{00000000-0005-0000-0000-0000AB0F0000}"/>
    <cellStyle name="Normal 2 4 2 5 7 2" xfId="6752" xr:uid="{00000000-0005-0000-0000-0000AC0F0000}"/>
    <cellStyle name="Normal 2 4 2 5 7 2 2" xfId="15199" xr:uid="{A06A02D0-A436-4695-BE54-AB1D3F40D622}"/>
    <cellStyle name="Normal 2 4 2 5 7 3" xfId="10984" xr:uid="{AC49D7FE-7671-4587-BF6E-A63320B74D10}"/>
    <cellStyle name="Normal 2 4 2 5 8" xfId="4686" xr:uid="{00000000-0005-0000-0000-0000AD0F0000}"/>
    <cellStyle name="Normal 2 4 2 5 8 2" xfId="13133" xr:uid="{15C457DA-A7C4-4E8B-B8DB-4A535A0E3A52}"/>
    <cellStyle name="Normal 2 4 2 5 9" xfId="8918" xr:uid="{2945F3CF-777E-43E1-9C76-5B03921F5481}"/>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4" xr:uid="{03A9BFF9-9471-49F4-BC45-F63D09DA6ADE}"/>
    <cellStyle name="Normal 2 4 2 6 2 2 3" xfId="11479" xr:uid="{7F7CE1AB-9522-446F-809F-69E6EB2F00B5}"/>
    <cellStyle name="Normal 2 4 2 6 2 3" xfId="5102" xr:uid="{00000000-0005-0000-0000-0000B20F0000}"/>
    <cellStyle name="Normal 2 4 2 6 2 3 2" xfId="13549" xr:uid="{FC1911BD-1397-4FC2-A0CC-1DEF0AA163A4}"/>
    <cellStyle name="Normal 2 4 2 6 2 4" xfId="9334" xr:uid="{1DE93CDA-E4B7-4DA8-B32A-7CF96BEBDBB9}"/>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07" xr:uid="{272485C6-CE63-49BA-945B-8C73DA763D34}"/>
    <cellStyle name="Normal 2 4 2 6 3 2 3" xfId="11892" xr:uid="{51DCE18F-0CE1-4BCB-9153-8E7CB2790F2F}"/>
    <cellStyle name="Normal 2 4 2 6 3 3" xfId="5515" xr:uid="{00000000-0005-0000-0000-0000B60F0000}"/>
    <cellStyle name="Normal 2 4 2 6 3 3 2" xfId="13962" xr:uid="{BBE81BFC-334B-41AE-80BD-0D75D4B82E5C}"/>
    <cellStyle name="Normal 2 4 2 6 3 4" xfId="9747" xr:uid="{9F7EE9A9-82DA-4996-8FA4-552A150B5A97}"/>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0" xr:uid="{2B2DA1CD-4BD2-4561-BE24-D706EDEEB539}"/>
    <cellStyle name="Normal 2 4 2 6 4 2 3" xfId="12305" xr:uid="{481AE556-28B6-450D-BD16-A26214DC565F}"/>
    <cellStyle name="Normal 2 4 2 6 4 3" xfId="5928" xr:uid="{00000000-0005-0000-0000-0000BA0F0000}"/>
    <cellStyle name="Normal 2 4 2 6 4 3 2" xfId="14375" xr:uid="{AFA15E52-4212-4F3B-A25F-6BE9B4C7D522}"/>
    <cellStyle name="Normal 2 4 2 6 4 4" xfId="10160" xr:uid="{C2BFE78A-71CB-4842-81B9-C92BC74FA8EE}"/>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3" xr:uid="{A2D6BE60-0CB4-4150-9B9B-974827BC07EF}"/>
    <cellStyle name="Normal 2 4 2 6 5 2 3" xfId="12718" xr:uid="{8A855002-CFEC-4743-8BB0-A528330A070C}"/>
    <cellStyle name="Normal 2 4 2 6 5 3" xfId="6341" xr:uid="{00000000-0005-0000-0000-0000BE0F0000}"/>
    <cellStyle name="Normal 2 4 2 6 5 3 2" xfId="14788" xr:uid="{1DE264E2-518C-4F16-987E-66A1F92AF81C}"/>
    <cellStyle name="Normal 2 4 2 6 5 4" xfId="10573" xr:uid="{313C5372-12D5-4334-9542-FE8FDBC7832A}"/>
    <cellStyle name="Normal 2 4 2 6 6" xfId="2471" xr:uid="{00000000-0005-0000-0000-0000BF0F0000}"/>
    <cellStyle name="Normal 2 4 2 6 6 2" xfId="6754" xr:uid="{00000000-0005-0000-0000-0000C00F0000}"/>
    <cellStyle name="Normal 2 4 2 6 6 2 2" xfId="15201" xr:uid="{91369D60-99B9-4882-9B73-E881122974E7}"/>
    <cellStyle name="Normal 2 4 2 6 6 3" xfId="10986" xr:uid="{BA1DE891-29E6-4000-B209-1A44E822C63F}"/>
    <cellStyle name="Normal 2 4 2 6 7" xfId="4688" xr:uid="{00000000-0005-0000-0000-0000C10F0000}"/>
    <cellStyle name="Normal 2 4 2 6 7 2" xfId="13135" xr:uid="{CC4BB4ED-77D3-422B-9679-447DD380D6E7}"/>
    <cellStyle name="Normal 2 4 2 6 8" xfId="8920" xr:uid="{6B9D01A6-8D96-4B70-BDE2-B476526F3CCA}"/>
    <cellStyle name="Normal 2 4 2 7" xfId="771" xr:uid="{00000000-0005-0000-0000-0000C20F0000}"/>
    <cellStyle name="Normal 2 4 2 7 2" xfId="3010" xr:uid="{00000000-0005-0000-0000-0000C30F0000}"/>
    <cellStyle name="Normal 2 4 2 7 2 2" xfId="7232" xr:uid="{00000000-0005-0000-0000-0000C40F0000}"/>
    <cellStyle name="Normal 2 4 2 7 2 2 2" xfId="15679" xr:uid="{DE8778EE-4853-426A-8927-AF7BED5E1087}"/>
    <cellStyle name="Normal 2 4 2 7 2 3" xfId="11464" xr:uid="{9194B2A9-FB12-49F9-9507-34EACC4178A1}"/>
    <cellStyle name="Normal 2 4 2 7 3" xfId="5087" xr:uid="{00000000-0005-0000-0000-0000C50F0000}"/>
    <cellStyle name="Normal 2 4 2 7 3 2" xfId="13534" xr:uid="{289BC692-0478-4EF8-8378-86C73421F16D}"/>
    <cellStyle name="Normal 2 4 2 7 4" xfId="9319" xr:uid="{A99258A4-6452-42F2-8C5F-775D5E162218}"/>
    <cellStyle name="Normal 2 4 2 8" xfId="1193" xr:uid="{00000000-0005-0000-0000-0000C60F0000}"/>
    <cellStyle name="Normal 2 4 2 8 2" xfId="3423" xr:uid="{00000000-0005-0000-0000-0000C70F0000}"/>
    <cellStyle name="Normal 2 4 2 8 2 2" xfId="7645" xr:uid="{00000000-0005-0000-0000-0000C80F0000}"/>
    <cellStyle name="Normal 2 4 2 8 2 2 2" xfId="16092" xr:uid="{BA5C6745-6D52-4082-AD17-36E25F07F229}"/>
    <cellStyle name="Normal 2 4 2 8 2 3" xfId="11877" xr:uid="{8DA0173B-BD78-475B-A637-6ECF5969955F}"/>
    <cellStyle name="Normal 2 4 2 8 3" xfId="5500" xr:uid="{00000000-0005-0000-0000-0000C90F0000}"/>
    <cellStyle name="Normal 2 4 2 8 3 2" xfId="13947" xr:uid="{4108D72E-1E1E-4082-B66C-CE55C7C8EFFB}"/>
    <cellStyle name="Normal 2 4 2 8 4" xfId="9732" xr:uid="{F9473826-B50C-410E-9645-8B286177A150}"/>
    <cellStyle name="Normal 2 4 2 9" xfId="1606" xr:uid="{00000000-0005-0000-0000-0000CA0F0000}"/>
    <cellStyle name="Normal 2 4 2 9 2" xfId="3836" xr:uid="{00000000-0005-0000-0000-0000CB0F0000}"/>
    <cellStyle name="Normal 2 4 2 9 2 2" xfId="8058" xr:uid="{00000000-0005-0000-0000-0000CC0F0000}"/>
    <cellStyle name="Normal 2 4 2 9 2 2 2" xfId="16505" xr:uid="{D4F1393D-4F32-44D5-A0B5-3E4E550EE1C2}"/>
    <cellStyle name="Normal 2 4 2 9 2 3" xfId="12290" xr:uid="{A2C23325-E3AB-4484-A382-F7ABC6E3F2BC}"/>
    <cellStyle name="Normal 2 4 2 9 3" xfId="5913" xr:uid="{00000000-0005-0000-0000-0000CD0F0000}"/>
    <cellStyle name="Normal 2 4 2 9 3 2" xfId="14360" xr:uid="{E4CEA2E0-B3BC-47FA-BE81-87D2FD3269D1}"/>
    <cellStyle name="Normal 2 4 2 9 4" xfId="10145" xr:uid="{23885A0D-3380-417D-ADA2-C4B6D2AECEC2}"/>
    <cellStyle name="Normal 2 4 3" xfId="296" xr:uid="{00000000-0005-0000-0000-0000CE0F0000}"/>
    <cellStyle name="Normal 2 4 3 10" xfId="8921" xr:uid="{7B09A08D-1406-4CA3-A446-01527D93B466}"/>
    <cellStyle name="Normal 2 4 3 2" xfId="297" xr:uid="{00000000-0005-0000-0000-0000CF0F0000}"/>
    <cellStyle name="Normal 2 4 3 3" xfId="298" xr:uid="{00000000-0005-0000-0000-0000D00F0000}"/>
    <cellStyle name="Normal 2 4 3 3 10" xfId="8922" xr:uid="{32DDA7B3-3D95-4E9F-8F5D-842070448AA6}"/>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698" xr:uid="{13856C87-E114-4F94-89B9-84EB17EBBB08}"/>
    <cellStyle name="Normal 2 4 3 3 2 2 2 2 3" xfId="11483" xr:uid="{93959EB6-680F-4147-B6AC-5170A5C3B734}"/>
    <cellStyle name="Normal 2 4 3 3 2 2 2 3" xfId="5106" xr:uid="{00000000-0005-0000-0000-0000D60F0000}"/>
    <cellStyle name="Normal 2 4 3 3 2 2 2 3 2" xfId="13553" xr:uid="{42BE45D6-D646-4B72-8218-9DE3D7C7FE52}"/>
    <cellStyle name="Normal 2 4 3 3 2 2 2 4" xfId="9338" xr:uid="{CF3BE234-A62C-4AA2-BEEA-6575B6680447}"/>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1" xr:uid="{51D9E0CB-A9B2-4462-99F9-531147FCEE57}"/>
    <cellStyle name="Normal 2 4 3 3 2 2 3 2 3" xfId="11896" xr:uid="{0D860295-AA61-4C25-A84D-09F342579015}"/>
    <cellStyle name="Normal 2 4 3 3 2 2 3 3" xfId="5519" xr:uid="{00000000-0005-0000-0000-0000DA0F0000}"/>
    <cellStyle name="Normal 2 4 3 3 2 2 3 3 2" xfId="13966" xr:uid="{1FA864DC-DDA4-4A0C-BC4D-C89F98C98338}"/>
    <cellStyle name="Normal 2 4 3 3 2 2 3 4" xfId="9751" xr:uid="{9AAE1BC0-0371-460D-BED5-3E6E3EDC6CE1}"/>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4" xr:uid="{8640461C-9A82-4F98-B458-68E5C01A9EF3}"/>
    <cellStyle name="Normal 2 4 3 3 2 2 4 2 3" xfId="12309" xr:uid="{F460D60E-7B5B-4C76-B1B1-C1215772FF52}"/>
    <cellStyle name="Normal 2 4 3 3 2 2 4 3" xfId="5932" xr:uid="{00000000-0005-0000-0000-0000DE0F0000}"/>
    <cellStyle name="Normal 2 4 3 3 2 2 4 3 2" xfId="14379" xr:uid="{30DD16BE-F3A1-4FC1-8988-966A32AF5170}"/>
    <cellStyle name="Normal 2 4 3 3 2 2 4 4" xfId="10164" xr:uid="{261458C8-3C82-4B41-A778-20F3F7C373D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37" xr:uid="{5F18D2C5-55FE-40B3-93A0-6E42165100D5}"/>
    <cellStyle name="Normal 2 4 3 3 2 2 5 2 3" xfId="12722" xr:uid="{38018149-E75A-4B22-8F2C-8D5F1594986C}"/>
    <cellStyle name="Normal 2 4 3 3 2 2 5 3" xfId="6345" xr:uid="{00000000-0005-0000-0000-0000E20F0000}"/>
    <cellStyle name="Normal 2 4 3 3 2 2 5 3 2" xfId="14792" xr:uid="{8680005E-536D-46B9-AD12-A72EB496A494}"/>
    <cellStyle name="Normal 2 4 3 3 2 2 5 4" xfId="10577" xr:uid="{EA8C3414-A338-47CA-A466-D73355BC709B}"/>
    <cellStyle name="Normal 2 4 3 3 2 2 6" xfId="2475" xr:uid="{00000000-0005-0000-0000-0000E30F0000}"/>
    <cellStyle name="Normal 2 4 3 3 2 2 6 2" xfId="6758" xr:uid="{00000000-0005-0000-0000-0000E40F0000}"/>
    <cellStyle name="Normal 2 4 3 3 2 2 6 2 2" xfId="15205" xr:uid="{940A2D08-0006-4246-8A46-652D0C6981A0}"/>
    <cellStyle name="Normal 2 4 3 3 2 2 6 3" xfId="10990" xr:uid="{FE3A96D0-EB6C-4D25-AAE3-CC3C8F6A27E9}"/>
    <cellStyle name="Normal 2 4 3 3 2 2 7" xfId="4692" xr:uid="{00000000-0005-0000-0000-0000E50F0000}"/>
    <cellStyle name="Normal 2 4 3 3 2 2 7 2" xfId="13139" xr:uid="{0F755F31-38E7-4E77-BF4B-74AA749CBA07}"/>
    <cellStyle name="Normal 2 4 3 3 2 2 8" xfId="8924" xr:uid="{84AFAFFC-D6A1-4238-8A3A-142C3A2BF368}"/>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697" xr:uid="{47342073-EDFE-40C9-9A49-4B35AFEFDD25}"/>
    <cellStyle name="Normal 2 4 3 3 2 3 2 3" xfId="11482" xr:uid="{2429E520-453A-48BA-A033-61CA88B14D94}"/>
    <cellStyle name="Normal 2 4 3 3 2 3 3" xfId="5105" xr:uid="{00000000-0005-0000-0000-0000E90F0000}"/>
    <cellStyle name="Normal 2 4 3 3 2 3 3 2" xfId="13552" xr:uid="{DA5B4863-8739-4118-A127-3CDF7EC90F60}"/>
    <cellStyle name="Normal 2 4 3 3 2 3 4" xfId="9337" xr:uid="{6E24766F-34C4-4B2D-BDEC-07A21339DD5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0" xr:uid="{D6D69B77-CA33-4312-875B-44811FB2B8A6}"/>
    <cellStyle name="Normal 2 4 3 3 2 4 2 3" xfId="11895" xr:uid="{C014B5DE-AFFF-4CCB-9C97-8158481EB5F1}"/>
    <cellStyle name="Normal 2 4 3 3 2 4 3" xfId="5518" xr:uid="{00000000-0005-0000-0000-0000ED0F0000}"/>
    <cellStyle name="Normal 2 4 3 3 2 4 3 2" xfId="13965" xr:uid="{C92048DC-04B1-4F3A-BC4C-0ED4601C0D8C}"/>
    <cellStyle name="Normal 2 4 3 3 2 4 4" xfId="9750" xr:uid="{0EBD8005-2D8F-4374-A185-D1757C552B1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3" xr:uid="{0E06DCE0-1855-4479-BBE3-1087C752D20D}"/>
    <cellStyle name="Normal 2 4 3 3 2 5 2 3" xfId="12308" xr:uid="{A81857A3-C64C-4A1C-879E-E0F33A3D6FBA}"/>
    <cellStyle name="Normal 2 4 3 3 2 5 3" xfId="5931" xr:uid="{00000000-0005-0000-0000-0000F10F0000}"/>
    <cellStyle name="Normal 2 4 3 3 2 5 3 2" xfId="14378" xr:uid="{191F834D-7522-4F5C-99D1-857905E28FF3}"/>
    <cellStyle name="Normal 2 4 3 3 2 5 4" xfId="10163" xr:uid="{ACF4178E-7172-414A-964B-3C67E5C43EED}"/>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6" xr:uid="{5EC1A2E0-EEB4-4E61-BC60-F979FCA23C2C}"/>
    <cellStyle name="Normal 2 4 3 3 2 6 2 3" xfId="12721" xr:uid="{B88B5A95-99B1-4A22-9D8D-FB5F29725EEE}"/>
    <cellStyle name="Normal 2 4 3 3 2 6 3" xfId="6344" xr:uid="{00000000-0005-0000-0000-0000F50F0000}"/>
    <cellStyle name="Normal 2 4 3 3 2 6 3 2" xfId="14791" xr:uid="{8C917C7A-A556-409B-BDE2-0A465ACF6862}"/>
    <cellStyle name="Normal 2 4 3 3 2 6 4" xfId="10576" xr:uid="{C7850F36-D759-4930-BB91-46A75FB5A6DD}"/>
    <cellStyle name="Normal 2 4 3 3 2 7" xfId="2474" xr:uid="{00000000-0005-0000-0000-0000F60F0000}"/>
    <cellStyle name="Normal 2 4 3 3 2 7 2" xfId="6757" xr:uid="{00000000-0005-0000-0000-0000F70F0000}"/>
    <cellStyle name="Normal 2 4 3 3 2 7 2 2" xfId="15204" xr:uid="{97810EAB-C557-47B9-BCC9-40D845B75995}"/>
    <cellStyle name="Normal 2 4 3 3 2 7 3" xfId="10989" xr:uid="{ED4E1273-1841-4FAC-83EF-CA36D02BDC20}"/>
    <cellStyle name="Normal 2 4 3 3 2 8" xfId="4691" xr:uid="{00000000-0005-0000-0000-0000F80F0000}"/>
    <cellStyle name="Normal 2 4 3 3 2 8 2" xfId="13138" xr:uid="{918F2C7C-C486-416B-A7D0-A32F3CC54B4B}"/>
    <cellStyle name="Normal 2 4 3 3 2 9" xfId="8923" xr:uid="{A21AC07B-16B8-4B96-9E0C-6FD6AA5C8C4F}"/>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699" xr:uid="{CCD04714-3AA6-4F3B-A407-690793EDDEFF}"/>
    <cellStyle name="Normal 2 4 3 3 3 2 2 3" xfId="11484" xr:uid="{F1ECD49F-AD92-463A-AC34-5AFE7C920B17}"/>
    <cellStyle name="Normal 2 4 3 3 3 2 3" xfId="5107" xr:uid="{00000000-0005-0000-0000-0000FD0F0000}"/>
    <cellStyle name="Normal 2 4 3 3 3 2 3 2" xfId="13554" xr:uid="{665309D1-CD92-453A-8578-F19653B5EC87}"/>
    <cellStyle name="Normal 2 4 3 3 3 2 4" xfId="9339" xr:uid="{9564951A-18F7-42D4-B542-41AEFFA763CB}"/>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2" xr:uid="{6709B448-2766-42BA-B8BF-00572E6A87F6}"/>
    <cellStyle name="Normal 2 4 3 3 3 3 2 3" xfId="11897" xr:uid="{7E24794D-9E3D-483F-8777-FF6ED1468E6D}"/>
    <cellStyle name="Normal 2 4 3 3 3 3 3" xfId="5520" xr:uid="{00000000-0005-0000-0000-000001100000}"/>
    <cellStyle name="Normal 2 4 3 3 3 3 3 2" xfId="13967" xr:uid="{00F57B07-5DB2-479C-AE0A-BB3DE4A0FEBB}"/>
    <cellStyle name="Normal 2 4 3 3 3 3 4" xfId="9752" xr:uid="{3B022ECF-DD41-4837-8640-6586581C6161}"/>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5" xr:uid="{F3F828F5-47B1-4424-9457-4B275E1A2497}"/>
    <cellStyle name="Normal 2 4 3 3 3 4 2 3" xfId="12310" xr:uid="{3A2EA3C3-1CC6-401F-8B0E-7EFFFCB63E20}"/>
    <cellStyle name="Normal 2 4 3 3 3 4 3" xfId="5933" xr:uid="{00000000-0005-0000-0000-000005100000}"/>
    <cellStyle name="Normal 2 4 3 3 3 4 3 2" xfId="14380" xr:uid="{2702CBDC-17E1-4818-A588-EDEEAD839CAE}"/>
    <cellStyle name="Normal 2 4 3 3 3 4 4" xfId="10165" xr:uid="{2874D527-20F6-4056-BDAF-0B3059C74B01}"/>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38" xr:uid="{009E400B-D62C-4AE3-BC27-D95E3A52DC68}"/>
    <cellStyle name="Normal 2 4 3 3 3 5 2 3" xfId="12723" xr:uid="{4BDCB864-BB5A-452C-80B0-4643DF552A25}"/>
    <cellStyle name="Normal 2 4 3 3 3 5 3" xfId="6346" xr:uid="{00000000-0005-0000-0000-000009100000}"/>
    <cellStyle name="Normal 2 4 3 3 3 5 3 2" xfId="14793" xr:uid="{D931BAEE-AF21-456C-8364-29EF7C4146A3}"/>
    <cellStyle name="Normal 2 4 3 3 3 5 4" xfId="10578" xr:uid="{2E6170E8-CB42-4815-A664-33FEC0E50729}"/>
    <cellStyle name="Normal 2 4 3 3 3 6" xfId="2476" xr:uid="{00000000-0005-0000-0000-00000A100000}"/>
    <cellStyle name="Normal 2 4 3 3 3 6 2" xfId="6759" xr:uid="{00000000-0005-0000-0000-00000B100000}"/>
    <cellStyle name="Normal 2 4 3 3 3 6 2 2" xfId="15206" xr:uid="{04E0B6A1-2C58-407B-95ED-16A168FD5EB1}"/>
    <cellStyle name="Normal 2 4 3 3 3 6 3" xfId="10991" xr:uid="{CB90F71C-8053-4283-B02D-1D06FF6C6A6A}"/>
    <cellStyle name="Normal 2 4 3 3 3 7" xfId="4693" xr:uid="{00000000-0005-0000-0000-00000C100000}"/>
    <cellStyle name="Normal 2 4 3 3 3 7 2" xfId="13140" xr:uid="{2B151BAA-BD71-4493-8428-942604099BD6}"/>
    <cellStyle name="Normal 2 4 3 3 3 8" xfId="8925" xr:uid="{D633E6B2-32C5-406C-BF1F-300130DBC42B}"/>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6" xr:uid="{12563A66-E3D2-4640-8518-3EBC4D95D3F9}"/>
    <cellStyle name="Normal 2 4 3 3 4 2 3" xfId="11481" xr:uid="{31B01634-B5E1-4C21-B1FC-C44474735D50}"/>
    <cellStyle name="Normal 2 4 3 3 4 3" xfId="5104" xr:uid="{00000000-0005-0000-0000-000010100000}"/>
    <cellStyle name="Normal 2 4 3 3 4 3 2" xfId="13551" xr:uid="{3FD3BD3D-47DE-422E-969D-83213FDA5900}"/>
    <cellStyle name="Normal 2 4 3 3 4 4" xfId="9336" xr:uid="{692CA3F0-28C3-4AA4-9927-89D91694B587}"/>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09" xr:uid="{4B196661-1CFC-428B-A753-8FD0F25E58D0}"/>
    <cellStyle name="Normal 2 4 3 3 5 2 3" xfId="11894" xr:uid="{17A73F36-D436-4451-92F3-56D1BAA39063}"/>
    <cellStyle name="Normal 2 4 3 3 5 3" xfId="5517" xr:uid="{00000000-0005-0000-0000-000014100000}"/>
    <cellStyle name="Normal 2 4 3 3 5 3 2" xfId="13964" xr:uid="{691E52AA-E2C9-4715-A497-2D5E51964EAA}"/>
    <cellStyle name="Normal 2 4 3 3 5 4" xfId="9749" xr:uid="{9E9BAD9A-90F1-4C7A-BEDD-D4F397F598CC}"/>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2" xr:uid="{D0624522-A631-408E-9328-DC995B218C4F}"/>
    <cellStyle name="Normal 2 4 3 3 6 2 3" xfId="12307" xr:uid="{807B2884-B050-4087-A46C-B541F300BF13}"/>
    <cellStyle name="Normal 2 4 3 3 6 3" xfId="5930" xr:uid="{00000000-0005-0000-0000-000018100000}"/>
    <cellStyle name="Normal 2 4 3 3 6 3 2" xfId="14377" xr:uid="{FC170C57-3928-4FCB-95B4-772E4C1330A0}"/>
    <cellStyle name="Normal 2 4 3 3 6 4" xfId="10162" xr:uid="{99377C40-84F5-4C57-BCAA-4F62FF43DCAC}"/>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5" xr:uid="{2EFEEEB2-3A49-4744-932B-5E283E05B7A8}"/>
    <cellStyle name="Normal 2 4 3 3 7 2 3" xfId="12720" xr:uid="{97EA5B6D-7217-49C3-8142-D463DF9E8003}"/>
    <cellStyle name="Normal 2 4 3 3 7 3" xfId="6343" xr:uid="{00000000-0005-0000-0000-00001C100000}"/>
    <cellStyle name="Normal 2 4 3 3 7 3 2" xfId="14790" xr:uid="{8101C565-D1C1-4FB5-8094-2787055AE001}"/>
    <cellStyle name="Normal 2 4 3 3 7 4" xfId="10575" xr:uid="{5FB7B5B6-DBEE-420C-8026-AA493E75B7E2}"/>
    <cellStyle name="Normal 2 4 3 3 8" xfId="2473" xr:uid="{00000000-0005-0000-0000-00001D100000}"/>
    <cellStyle name="Normal 2 4 3 3 8 2" xfId="6756" xr:uid="{00000000-0005-0000-0000-00001E100000}"/>
    <cellStyle name="Normal 2 4 3 3 8 2 2" xfId="15203" xr:uid="{C9B53F72-A331-470C-B655-A0BE181B0B5F}"/>
    <cellStyle name="Normal 2 4 3 3 8 3" xfId="10988" xr:uid="{392DA770-D227-4212-9A34-BB7C3922B4BE}"/>
    <cellStyle name="Normal 2 4 3 3 9" xfId="4690" xr:uid="{00000000-0005-0000-0000-00001F100000}"/>
    <cellStyle name="Normal 2 4 3 3 9 2" xfId="13137" xr:uid="{B99AC461-12D4-4E92-A782-101B901AECC4}"/>
    <cellStyle name="Normal 2 4 3 4" xfId="787" xr:uid="{00000000-0005-0000-0000-000020100000}"/>
    <cellStyle name="Normal 2 4 3 4 2" xfId="3026" xr:uid="{00000000-0005-0000-0000-000021100000}"/>
    <cellStyle name="Normal 2 4 3 4 2 2" xfId="7248" xr:uid="{00000000-0005-0000-0000-000022100000}"/>
    <cellStyle name="Normal 2 4 3 4 2 2 2" xfId="15695" xr:uid="{D7430FC2-8DBB-4838-8729-DDF61CEE7A23}"/>
    <cellStyle name="Normal 2 4 3 4 2 3" xfId="11480" xr:uid="{61F14D15-82CB-43FD-9D3B-1185E74495D6}"/>
    <cellStyle name="Normal 2 4 3 4 3" xfId="5103" xr:uid="{00000000-0005-0000-0000-000023100000}"/>
    <cellStyle name="Normal 2 4 3 4 3 2" xfId="13550" xr:uid="{BAE3F1CF-F6CF-45DE-ADCD-B89453B47A0E}"/>
    <cellStyle name="Normal 2 4 3 4 4" xfId="9335" xr:uid="{8C38308B-FE62-4B41-80B1-AA0424FCA69B}"/>
    <cellStyle name="Normal 2 4 3 5" xfId="1209" xr:uid="{00000000-0005-0000-0000-000024100000}"/>
    <cellStyle name="Normal 2 4 3 5 2" xfId="3439" xr:uid="{00000000-0005-0000-0000-000025100000}"/>
    <cellStyle name="Normal 2 4 3 5 2 2" xfId="7661" xr:uid="{00000000-0005-0000-0000-000026100000}"/>
    <cellStyle name="Normal 2 4 3 5 2 2 2" xfId="16108" xr:uid="{006DF4A5-B2D3-43B4-B980-F9992C5DA145}"/>
    <cellStyle name="Normal 2 4 3 5 2 3" xfId="11893" xr:uid="{7033E92C-1FA9-4668-8F89-1E83D741C3A7}"/>
    <cellStyle name="Normal 2 4 3 5 3" xfId="5516" xr:uid="{00000000-0005-0000-0000-000027100000}"/>
    <cellStyle name="Normal 2 4 3 5 3 2" xfId="13963" xr:uid="{5824DAAD-4B99-47AA-B669-726EF21D7080}"/>
    <cellStyle name="Normal 2 4 3 5 4" xfId="9748" xr:uid="{9F08E9D2-48B2-4126-B266-DD0938FC5EA7}"/>
    <cellStyle name="Normal 2 4 3 6" xfId="1622" xr:uid="{00000000-0005-0000-0000-000028100000}"/>
    <cellStyle name="Normal 2 4 3 6 2" xfId="3852" xr:uid="{00000000-0005-0000-0000-000029100000}"/>
    <cellStyle name="Normal 2 4 3 6 2 2" xfId="8074" xr:uid="{00000000-0005-0000-0000-00002A100000}"/>
    <cellStyle name="Normal 2 4 3 6 2 2 2" xfId="16521" xr:uid="{F563B5D4-AFA4-448E-92EE-DA05581F93A9}"/>
    <cellStyle name="Normal 2 4 3 6 2 3" xfId="12306" xr:uid="{22AC63C5-89CF-409E-BE45-DD03781188AD}"/>
    <cellStyle name="Normal 2 4 3 6 3" xfId="5929" xr:uid="{00000000-0005-0000-0000-00002B100000}"/>
    <cellStyle name="Normal 2 4 3 6 3 2" xfId="14376" xr:uid="{A594931F-FC6E-4434-9056-A37A7934B72E}"/>
    <cellStyle name="Normal 2 4 3 6 4" xfId="10161" xr:uid="{833150DA-D45C-43A5-929F-96C05A83ED9D}"/>
    <cellStyle name="Normal 2 4 3 7" xfId="2036" xr:uid="{00000000-0005-0000-0000-00002C100000}"/>
    <cellStyle name="Normal 2 4 3 7 2" xfId="4265" xr:uid="{00000000-0005-0000-0000-00002D100000}"/>
    <cellStyle name="Normal 2 4 3 7 2 2" xfId="8487" xr:uid="{00000000-0005-0000-0000-00002E100000}"/>
    <cellStyle name="Normal 2 4 3 7 2 2 2" xfId="16934" xr:uid="{DE155B2D-CB73-474F-87BE-2CE97F4B5F8A}"/>
    <cellStyle name="Normal 2 4 3 7 2 3" xfId="12719" xr:uid="{27786C9C-36CF-4625-977D-8191A0843996}"/>
    <cellStyle name="Normal 2 4 3 7 3" xfId="6342" xr:uid="{00000000-0005-0000-0000-00002F100000}"/>
    <cellStyle name="Normal 2 4 3 7 3 2" xfId="14789" xr:uid="{FF2C18E8-06B7-4A9B-97D7-667183E58DE8}"/>
    <cellStyle name="Normal 2 4 3 7 4" xfId="10574" xr:uid="{D8147AF0-3C75-45B9-B526-1CC8D34B817A}"/>
    <cellStyle name="Normal 2 4 3 8" xfId="2472" xr:uid="{00000000-0005-0000-0000-000030100000}"/>
    <cellStyle name="Normal 2 4 3 8 2" xfId="6755" xr:uid="{00000000-0005-0000-0000-000031100000}"/>
    <cellStyle name="Normal 2 4 3 8 2 2" xfId="15202" xr:uid="{2A6766A6-39B7-47EC-BE7E-FF117FD95AF6}"/>
    <cellStyle name="Normal 2 4 3 8 3" xfId="10987" xr:uid="{C3E2C948-B451-44ED-AA2F-9E094A892274}"/>
    <cellStyle name="Normal 2 4 3 9" xfId="4689" xr:uid="{00000000-0005-0000-0000-000032100000}"/>
    <cellStyle name="Normal 2 4 3 9 2" xfId="13136" xr:uid="{1342284C-249B-4E8A-A396-08AB22640914}"/>
    <cellStyle name="Normal 2 4 4" xfId="302" xr:uid="{00000000-0005-0000-0000-000033100000}"/>
    <cellStyle name="Normal 2 4 5" xfId="303" xr:uid="{00000000-0005-0000-0000-000034100000}"/>
    <cellStyle name="Normal 2 4 5 10" xfId="4694" xr:uid="{00000000-0005-0000-0000-000035100000}"/>
    <cellStyle name="Normal 2 4 5 10 2" xfId="13141" xr:uid="{B23D4812-1503-4470-94F4-0ADE1269EFE4}"/>
    <cellStyle name="Normal 2 4 5 11" xfId="8926" xr:uid="{65F30E56-1152-4178-BE9A-E46BFB33097D}"/>
    <cellStyle name="Normal 2 4 5 2" xfId="304" xr:uid="{00000000-0005-0000-0000-000036100000}"/>
    <cellStyle name="Normal 2 4 5 2 10" xfId="8927" xr:uid="{1698EECB-2D86-46C7-959F-00CF85875ED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3" xr:uid="{8FDDCB60-FDBD-4A75-BCE8-9230EC620FF7}"/>
    <cellStyle name="Normal 2 4 5 2 2 2 2 2 3" xfId="11488" xr:uid="{6D2D737A-B980-459D-8AB9-7572C46C1487}"/>
    <cellStyle name="Normal 2 4 5 2 2 2 2 3" xfId="5111" xr:uid="{00000000-0005-0000-0000-00003C100000}"/>
    <cellStyle name="Normal 2 4 5 2 2 2 2 3 2" xfId="13558" xr:uid="{ACB19D2B-7774-4F29-A30B-CAC66E73A0CC}"/>
    <cellStyle name="Normal 2 4 5 2 2 2 2 4" xfId="9343" xr:uid="{3DBC8167-C0DE-4618-871C-8DAF608F7B67}"/>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6" xr:uid="{7F6DFF20-695D-4F78-B51A-751EE89CE55E}"/>
    <cellStyle name="Normal 2 4 5 2 2 2 3 2 3" xfId="11901" xr:uid="{C4E163C7-EF29-4A5C-BFA8-1767538AB4CF}"/>
    <cellStyle name="Normal 2 4 5 2 2 2 3 3" xfId="5524" xr:uid="{00000000-0005-0000-0000-000040100000}"/>
    <cellStyle name="Normal 2 4 5 2 2 2 3 3 2" xfId="13971" xr:uid="{D970CA40-A826-4F5D-A636-D66CF33964F2}"/>
    <cellStyle name="Normal 2 4 5 2 2 2 3 4" xfId="9756" xr:uid="{7A49EB1D-850D-4C4A-A98A-2754346E80FF}"/>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29" xr:uid="{4E30C70E-2BDA-4285-B0E3-3A867858C69C}"/>
    <cellStyle name="Normal 2 4 5 2 2 2 4 2 3" xfId="12314" xr:uid="{29EBF7CA-2B9F-4DA6-8198-EAAC3C51D8F2}"/>
    <cellStyle name="Normal 2 4 5 2 2 2 4 3" xfId="5937" xr:uid="{00000000-0005-0000-0000-000044100000}"/>
    <cellStyle name="Normal 2 4 5 2 2 2 4 3 2" xfId="14384" xr:uid="{D2FE3702-05CA-4383-9F3D-0EF51AD81570}"/>
    <cellStyle name="Normal 2 4 5 2 2 2 4 4" xfId="10169" xr:uid="{51A9D716-05BB-416C-8B1B-010B4DC933D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2" xr:uid="{417FBA86-E164-4460-94D3-3C5A46C6C353}"/>
    <cellStyle name="Normal 2 4 5 2 2 2 5 2 3" xfId="12727" xr:uid="{FCDA7570-5C4B-41AD-B123-2CF1DEF82E09}"/>
    <cellStyle name="Normal 2 4 5 2 2 2 5 3" xfId="6350" xr:uid="{00000000-0005-0000-0000-000048100000}"/>
    <cellStyle name="Normal 2 4 5 2 2 2 5 3 2" xfId="14797" xr:uid="{F677F742-03DB-40E7-9119-4E8DC784545E}"/>
    <cellStyle name="Normal 2 4 5 2 2 2 5 4" xfId="10582" xr:uid="{AC6C2B09-F061-41B5-B538-D05033C9AC77}"/>
    <cellStyle name="Normal 2 4 5 2 2 2 6" xfId="2480" xr:uid="{00000000-0005-0000-0000-000049100000}"/>
    <cellStyle name="Normal 2 4 5 2 2 2 6 2" xfId="6763" xr:uid="{00000000-0005-0000-0000-00004A100000}"/>
    <cellStyle name="Normal 2 4 5 2 2 2 6 2 2" xfId="15210" xr:uid="{5CC3B6C2-1064-4FD3-BD1A-C7BF7247A297}"/>
    <cellStyle name="Normal 2 4 5 2 2 2 6 3" xfId="10995" xr:uid="{FCFE9E9C-9327-4816-A24C-3D9F6171FE77}"/>
    <cellStyle name="Normal 2 4 5 2 2 2 7" xfId="4697" xr:uid="{00000000-0005-0000-0000-00004B100000}"/>
    <cellStyle name="Normal 2 4 5 2 2 2 7 2" xfId="13144" xr:uid="{F7918493-A845-44B3-AE10-50A89849618C}"/>
    <cellStyle name="Normal 2 4 5 2 2 2 8" xfId="8929" xr:uid="{9BD39853-0AD4-4234-96F0-AC1F7F92592B}"/>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2" xr:uid="{335CDF04-3F6D-4C05-9F2F-A65B089F8BE4}"/>
    <cellStyle name="Normal 2 4 5 2 2 3 2 3" xfId="11487" xr:uid="{16C414D9-B2C5-4C08-81B9-0071B67E7B7B}"/>
    <cellStyle name="Normal 2 4 5 2 2 3 3" xfId="5110" xr:uid="{00000000-0005-0000-0000-00004F100000}"/>
    <cellStyle name="Normal 2 4 5 2 2 3 3 2" xfId="13557" xr:uid="{AC28B1B1-B70F-4A7C-8017-EC1E93D4B1AE}"/>
    <cellStyle name="Normal 2 4 5 2 2 3 4" xfId="9342" xr:uid="{9EF76E86-9484-4D22-9E23-2BFAC6658532}"/>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5" xr:uid="{CBDAD720-15F2-43AA-BEE2-8B6F3659C6B8}"/>
    <cellStyle name="Normal 2 4 5 2 2 4 2 3" xfId="11900" xr:uid="{AAE6962D-9275-4154-97A6-01D50A3D9B02}"/>
    <cellStyle name="Normal 2 4 5 2 2 4 3" xfId="5523" xr:uid="{00000000-0005-0000-0000-000053100000}"/>
    <cellStyle name="Normal 2 4 5 2 2 4 3 2" xfId="13970" xr:uid="{B0D6390E-B1BF-4D8B-A36B-F5F0DBEB7890}"/>
    <cellStyle name="Normal 2 4 5 2 2 4 4" xfId="9755" xr:uid="{F7756709-FC45-405C-B92F-5DCDE0E2728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28" xr:uid="{032E5516-D976-4CFE-9AB6-D8F136DB5B69}"/>
    <cellStyle name="Normal 2 4 5 2 2 5 2 3" xfId="12313" xr:uid="{045ECFF9-1EA9-4693-AC0A-F47F10B9E008}"/>
    <cellStyle name="Normal 2 4 5 2 2 5 3" xfId="5936" xr:uid="{00000000-0005-0000-0000-000057100000}"/>
    <cellStyle name="Normal 2 4 5 2 2 5 3 2" xfId="14383" xr:uid="{5627CE92-DD07-4EF0-A3E3-E4BA577D46E4}"/>
    <cellStyle name="Normal 2 4 5 2 2 5 4" xfId="10168" xr:uid="{34FB016A-EC4D-46B3-AE11-1C482E568A82}"/>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1" xr:uid="{5E11F5CE-B1B5-4B9E-A640-DE508CC08154}"/>
    <cellStyle name="Normal 2 4 5 2 2 6 2 3" xfId="12726" xr:uid="{D0C63D79-6473-4945-AD1A-ED89BA7551B1}"/>
    <cellStyle name="Normal 2 4 5 2 2 6 3" xfId="6349" xr:uid="{00000000-0005-0000-0000-00005B100000}"/>
    <cellStyle name="Normal 2 4 5 2 2 6 3 2" xfId="14796" xr:uid="{8173EE45-D1F2-4B23-B694-147238C60EB3}"/>
    <cellStyle name="Normal 2 4 5 2 2 6 4" xfId="10581" xr:uid="{E02E9A6D-88C7-4715-87CF-12E9A360DD0A}"/>
    <cellStyle name="Normal 2 4 5 2 2 7" xfId="2479" xr:uid="{00000000-0005-0000-0000-00005C100000}"/>
    <cellStyle name="Normal 2 4 5 2 2 7 2" xfId="6762" xr:uid="{00000000-0005-0000-0000-00005D100000}"/>
    <cellStyle name="Normal 2 4 5 2 2 7 2 2" xfId="15209" xr:uid="{A9F2EF05-31CB-4566-B222-528AB77FC610}"/>
    <cellStyle name="Normal 2 4 5 2 2 7 3" xfId="10994" xr:uid="{9485F6D9-A89E-479A-BCBA-01DC7A5F7784}"/>
    <cellStyle name="Normal 2 4 5 2 2 8" xfId="4696" xr:uid="{00000000-0005-0000-0000-00005E100000}"/>
    <cellStyle name="Normal 2 4 5 2 2 8 2" xfId="13143" xr:uid="{0AD27367-A22E-4B27-8F79-614AA4B314C0}"/>
    <cellStyle name="Normal 2 4 5 2 2 9" xfId="8928" xr:uid="{090CBCC5-A7DA-4B08-B917-E7BB82312DCE}"/>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4" xr:uid="{A16EAA23-B8EC-4DD3-9FDB-853D63292A53}"/>
    <cellStyle name="Normal 2 4 5 2 3 2 2 3" xfId="11489" xr:uid="{4A318C2D-3F02-4855-A9A8-ECE20F0DD29D}"/>
    <cellStyle name="Normal 2 4 5 2 3 2 3" xfId="5112" xr:uid="{00000000-0005-0000-0000-000063100000}"/>
    <cellStyle name="Normal 2 4 5 2 3 2 3 2" xfId="13559" xr:uid="{0EB608F9-94B4-4C4E-A3C8-CC2705C86DA5}"/>
    <cellStyle name="Normal 2 4 5 2 3 2 4" xfId="9344" xr:uid="{A4A05E85-A173-4CA9-AFB3-7ABADFF3F5ED}"/>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17" xr:uid="{3F44A232-113A-4ACB-84C1-35CE9304972C}"/>
    <cellStyle name="Normal 2 4 5 2 3 3 2 3" xfId="11902" xr:uid="{949CD04E-A48A-4EE9-8C36-4CCEFEDA8419}"/>
    <cellStyle name="Normal 2 4 5 2 3 3 3" xfId="5525" xr:uid="{00000000-0005-0000-0000-000067100000}"/>
    <cellStyle name="Normal 2 4 5 2 3 3 3 2" xfId="13972" xr:uid="{18A424E7-F206-45FF-ABBA-63E5F8B4B5D0}"/>
    <cellStyle name="Normal 2 4 5 2 3 3 4" xfId="9757" xr:uid="{C59F5C9D-E2D0-49FC-87D2-4ADC473B88FD}"/>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0" xr:uid="{B0A2E205-D333-4FAF-BB5E-E7A977445CA1}"/>
    <cellStyle name="Normal 2 4 5 2 3 4 2 3" xfId="12315" xr:uid="{BD0F5C6A-DDB8-4415-86CE-39C209CBE958}"/>
    <cellStyle name="Normal 2 4 5 2 3 4 3" xfId="5938" xr:uid="{00000000-0005-0000-0000-00006B100000}"/>
    <cellStyle name="Normal 2 4 5 2 3 4 3 2" xfId="14385" xr:uid="{3096D6CE-BA68-4463-AA60-1D8D07C9C58A}"/>
    <cellStyle name="Normal 2 4 5 2 3 4 4" xfId="10170" xr:uid="{8DA7F2E2-855D-44D3-AAC8-A27CD1FD99C6}"/>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3" xr:uid="{F0C4DB1A-9FD1-4C2C-8B87-3633C686B1C4}"/>
    <cellStyle name="Normal 2 4 5 2 3 5 2 3" xfId="12728" xr:uid="{D54E5534-DB3D-4214-8863-5BAAE835ECA4}"/>
    <cellStyle name="Normal 2 4 5 2 3 5 3" xfId="6351" xr:uid="{00000000-0005-0000-0000-00006F100000}"/>
    <cellStyle name="Normal 2 4 5 2 3 5 3 2" xfId="14798" xr:uid="{361C681B-3C52-4351-970E-6894A195B447}"/>
    <cellStyle name="Normal 2 4 5 2 3 5 4" xfId="10583" xr:uid="{1193CA13-BA9D-49C6-A4B4-237E8A0A2885}"/>
    <cellStyle name="Normal 2 4 5 2 3 6" xfId="2481" xr:uid="{00000000-0005-0000-0000-000070100000}"/>
    <cellStyle name="Normal 2 4 5 2 3 6 2" xfId="6764" xr:uid="{00000000-0005-0000-0000-000071100000}"/>
    <cellStyle name="Normal 2 4 5 2 3 6 2 2" xfId="15211" xr:uid="{8E5FCB18-4FBC-452E-8A0B-817DDFB47206}"/>
    <cellStyle name="Normal 2 4 5 2 3 6 3" xfId="10996" xr:uid="{BDC07969-7977-4DD6-96E4-894FDC906697}"/>
    <cellStyle name="Normal 2 4 5 2 3 7" xfId="4698" xr:uid="{00000000-0005-0000-0000-000072100000}"/>
    <cellStyle name="Normal 2 4 5 2 3 7 2" xfId="13145" xr:uid="{256B03B5-03DF-483F-9B6A-C259163D479D}"/>
    <cellStyle name="Normal 2 4 5 2 3 8" xfId="8930" xr:uid="{1336ACCC-97FB-4458-8E24-88CAB0634E46}"/>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1" xr:uid="{93821B8F-BA12-410C-B6B6-489929E37476}"/>
    <cellStyle name="Normal 2 4 5 2 4 2 3" xfId="11486" xr:uid="{0777576F-901D-448B-8C25-7A90C3CE5591}"/>
    <cellStyle name="Normal 2 4 5 2 4 3" xfId="5109" xr:uid="{00000000-0005-0000-0000-000076100000}"/>
    <cellStyle name="Normal 2 4 5 2 4 3 2" xfId="13556" xr:uid="{CB2E64DB-CF31-4328-8EE3-3D33E68CE360}"/>
    <cellStyle name="Normal 2 4 5 2 4 4" xfId="9341" xr:uid="{52E08F82-A63F-4325-B348-6DC8B0B2ACA8}"/>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4" xr:uid="{3DEF0938-36B2-42F4-A463-11CA0D804CEA}"/>
    <cellStyle name="Normal 2 4 5 2 5 2 3" xfId="11899" xr:uid="{3CCCD48F-5B27-4103-900E-A6AF5070C06C}"/>
    <cellStyle name="Normal 2 4 5 2 5 3" xfId="5522" xr:uid="{00000000-0005-0000-0000-00007A100000}"/>
    <cellStyle name="Normal 2 4 5 2 5 3 2" xfId="13969" xr:uid="{391BDE47-4C50-4409-B69F-C190B075726F}"/>
    <cellStyle name="Normal 2 4 5 2 5 4" xfId="9754" xr:uid="{E2285286-F56F-41AB-BD66-F0D69EB06DB2}"/>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27" xr:uid="{66CDDA6E-69D2-4D0F-9D28-707E6D32A1EA}"/>
    <cellStyle name="Normal 2 4 5 2 6 2 3" xfId="12312" xr:uid="{F108A166-0C6A-497C-BD50-CAD819EF6695}"/>
    <cellStyle name="Normal 2 4 5 2 6 3" xfId="5935" xr:uid="{00000000-0005-0000-0000-00007E100000}"/>
    <cellStyle name="Normal 2 4 5 2 6 3 2" xfId="14382" xr:uid="{75B5F30D-CC8A-48DD-B626-8CA0AC6B7775}"/>
    <cellStyle name="Normal 2 4 5 2 6 4" xfId="10167" xr:uid="{E8AD3ADE-5A96-497E-894D-3FC2E9BA40B9}"/>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0" xr:uid="{4EB29D9B-87E2-4FB8-9A58-C634DB90FDF3}"/>
    <cellStyle name="Normal 2 4 5 2 7 2 3" xfId="12725" xr:uid="{EFD6E422-66BD-4E8B-AF03-07AE61BBE7BC}"/>
    <cellStyle name="Normal 2 4 5 2 7 3" xfId="6348" xr:uid="{00000000-0005-0000-0000-000082100000}"/>
    <cellStyle name="Normal 2 4 5 2 7 3 2" xfId="14795" xr:uid="{322B475B-1F2A-4F0B-80BA-E484D6401DD3}"/>
    <cellStyle name="Normal 2 4 5 2 7 4" xfId="10580" xr:uid="{9D04DFC7-6DA5-4B39-B6C0-CC43DC152DE6}"/>
    <cellStyle name="Normal 2 4 5 2 8" xfId="2478" xr:uid="{00000000-0005-0000-0000-000083100000}"/>
    <cellStyle name="Normal 2 4 5 2 8 2" xfId="6761" xr:uid="{00000000-0005-0000-0000-000084100000}"/>
    <cellStyle name="Normal 2 4 5 2 8 2 2" xfId="15208" xr:uid="{27E9EE1E-4606-4D69-B6B2-171655A7212D}"/>
    <cellStyle name="Normal 2 4 5 2 8 3" xfId="10993" xr:uid="{3D10ACD7-8E42-4720-B2ED-6077EEE1609E}"/>
    <cellStyle name="Normal 2 4 5 2 9" xfId="4695" xr:uid="{00000000-0005-0000-0000-000085100000}"/>
    <cellStyle name="Normal 2 4 5 2 9 2" xfId="13142" xr:uid="{E84E8331-A2A1-4F46-BAD2-E0156DB381E5}"/>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6" xr:uid="{8C9CA089-E74E-4AE3-9B03-D088C1DE8E8C}"/>
    <cellStyle name="Normal 2 4 5 3 2 2 2 3" xfId="11491" xr:uid="{156CE5F3-C33B-4B4B-852F-FBA7FA7DE2E7}"/>
    <cellStyle name="Normal 2 4 5 3 2 2 3" xfId="5114" xr:uid="{00000000-0005-0000-0000-00008B100000}"/>
    <cellStyle name="Normal 2 4 5 3 2 2 3 2" xfId="13561" xr:uid="{1B8CD9D0-4BDA-4178-95BF-56B6B3B09657}"/>
    <cellStyle name="Normal 2 4 5 3 2 2 4" xfId="9346" xr:uid="{FAEB7F95-1E28-4D38-8C3D-35142D91B355}"/>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19" xr:uid="{0B3F97D1-2D12-4C12-9751-ECC10D9DC9DC}"/>
    <cellStyle name="Normal 2 4 5 3 2 3 2 3" xfId="11904" xr:uid="{C267627C-FDB3-49F6-826B-C2767BD12DA9}"/>
    <cellStyle name="Normal 2 4 5 3 2 3 3" xfId="5527" xr:uid="{00000000-0005-0000-0000-00008F100000}"/>
    <cellStyle name="Normal 2 4 5 3 2 3 3 2" xfId="13974" xr:uid="{8E0A854E-C804-4754-BB80-4FD1E44B2F7F}"/>
    <cellStyle name="Normal 2 4 5 3 2 3 4" xfId="9759" xr:uid="{4D6F09C3-E30B-46EF-B536-A09328E9BFD6}"/>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2" xr:uid="{E6B8AA39-E49A-49E8-86D1-2DE10284AC90}"/>
    <cellStyle name="Normal 2 4 5 3 2 4 2 3" xfId="12317" xr:uid="{CC73D09F-1629-40CC-8404-2DCFEB78DADE}"/>
    <cellStyle name="Normal 2 4 5 3 2 4 3" xfId="5940" xr:uid="{00000000-0005-0000-0000-000093100000}"/>
    <cellStyle name="Normal 2 4 5 3 2 4 3 2" xfId="14387" xr:uid="{C9ACFC54-6A83-45A5-903C-69F328DECD1D}"/>
    <cellStyle name="Normal 2 4 5 3 2 4 4" xfId="10172" xr:uid="{FFCD6E6E-91EE-493C-A20E-6CBE6D40F5F4}"/>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5" xr:uid="{2CA58A8B-ED5A-493A-A0F7-684A6963EE99}"/>
    <cellStyle name="Normal 2 4 5 3 2 5 2 3" xfId="12730" xr:uid="{178E2577-CBCD-4F3B-9549-16D86B26D237}"/>
    <cellStyle name="Normal 2 4 5 3 2 5 3" xfId="6353" xr:uid="{00000000-0005-0000-0000-000097100000}"/>
    <cellStyle name="Normal 2 4 5 3 2 5 3 2" xfId="14800" xr:uid="{1638DFE9-79FF-40B7-B2A1-C629796AAF33}"/>
    <cellStyle name="Normal 2 4 5 3 2 5 4" xfId="10585" xr:uid="{6AB2B6AF-4237-4548-8848-F9193395E822}"/>
    <cellStyle name="Normal 2 4 5 3 2 6" xfId="2483" xr:uid="{00000000-0005-0000-0000-000098100000}"/>
    <cellStyle name="Normal 2 4 5 3 2 6 2" xfId="6766" xr:uid="{00000000-0005-0000-0000-000099100000}"/>
    <cellStyle name="Normal 2 4 5 3 2 6 2 2" xfId="15213" xr:uid="{1AB98D55-05A1-466A-95A1-C9662FB55042}"/>
    <cellStyle name="Normal 2 4 5 3 2 6 3" xfId="10998" xr:uid="{605CD4FC-F3F0-4A08-B4C0-597FA51B321A}"/>
    <cellStyle name="Normal 2 4 5 3 2 7" xfId="4700" xr:uid="{00000000-0005-0000-0000-00009A100000}"/>
    <cellStyle name="Normal 2 4 5 3 2 7 2" xfId="13147" xr:uid="{FAF5FCF7-E100-4AC4-B8BB-7C55F7975278}"/>
    <cellStyle name="Normal 2 4 5 3 2 8" xfId="8932" xr:uid="{441923D6-0C5E-40E8-A00D-94590B10AE0E}"/>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5" xr:uid="{7E011D38-897A-4587-8A74-0F961B439E94}"/>
    <cellStyle name="Normal 2 4 5 3 3 2 3" xfId="11490" xr:uid="{16CC76D0-1558-453E-8B9F-A052AD81A236}"/>
    <cellStyle name="Normal 2 4 5 3 3 3" xfId="5113" xr:uid="{00000000-0005-0000-0000-00009E100000}"/>
    <cellStyle name="Normal 2 4 5 3 3 3 2" xfId="13560" xr:uid="{446E8CC1-8768-4C3B-B2EC-D75F0B258B20}"/>
    <cellStyle name="Normal 2 4 5 3 3 4" xfId="9345" xr:uid="{3B2615ED-CE75-4C6F-BA14-88C60195280E}"/>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18" xr:uid="{F85B069A-21E4-4EBC-B0E3-E51E83C64612}"/>
    <cellStyle name="Normal 2 4 5 3 4 2 3" xfId="11903" xr:uid="{6FD3CCEC-2D34-454E-B406-D42F6236E426}"/>
    <cellStyle name="Normal 2 4 5 3 4 3" xfId="5526" xr:uid="{00000000-0005-0000-0000-0000A2100000}"/>
    <cellStyle name="Normal 2 4 5 3 4 3 2" xfId="13973" xr:uid="{339D83A8-5747-4478-9C29-28F36BEC5E5F}"/>
    <cellStyle name="Normal 2 4 5 3 4 4" xfId="9758" xr:uid="{8A0F8DB6-CC9A-4440-964B-33BA37A7AA41}"/>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1" xr:uid="{F786BFE0-9066-4371-9A3E-5075704E82BB}"/>
    <cellStyle name="Normal 2 4 5 3 5 2 3" xfId="12316" xr:uid="{EF2DA394-0AA9-498F-A74B-663C5C291A0D}"/>
    <cellStyle name="Normal 2 4 5 3 5 3" xfId="5939" xr:uid="{00000000-0005-0000-0000-0000A6100000}"/>
    <cellStyle name="Normal 2 4 5 3 5 3 2" xfId="14386" xr:uid="{DBF229F3-F410-457F-88E1-A09311BF049C}"/>
    <cellStyle name="Normal 2 4 5 3 5 4" xfId="10171" xr:uid="{834C8159-31F5-4558-8065-E8B2D449124D}"/>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4" xr:uid="{81799E47-1438-4430-B6F9-643400D2AE3E}"/>
    <cellStyle name="Normal 2 4 5 3 6 2 3" xfId="12729" xr:uid="{53927F30-F698-4FF1-AEE9-D6D899EBD75D}"/>
    <cellStyle name="Normal 2 4 5 3 6 3" xfId="6352" xr:uid="{00000000-0005-0000-0000-0000AA100000}"/>
    <cellStyle name="Normal 2 4 5 3 6 3 2" xfId="14799" xr:uid="{D940E912-EB1D-443D-92A7-D0B266D9ABC4}"/>
    <cellStyle name="Normal 2 4 5 3 6 4" xfId="10584" xr:uid="{610C396C-CE58-4D06-9FF5-FFFAF25E9FE1}"/>
    <cellStyle name="Normal 2 4 5 3 7" xfId="2482" xr:uid="{00000000-0005-0000-0000-0000AB100000}"/>
    <cellStyle name="Normal 2 4 5 3 7 2" xfId="6765" xr:uid="{00000000-0005-0000-0000-0000AC100000}"/>
    <cellStyle name="Normal 2 4 5 3 7 2 2" xfId="15212" xr:uid="{BAFF8461-24DD-41B8-979C-71FA0C8EE377}"/>
    <cellStyle name="Normal 2 4 5 3 7 3" xfId="10997" xr:uid="{D25D894A-5D67-4DBE-840E-7B5766F23239}"/>
    <cellStyle name="Normal 2 4 5 3 8" xfId="4699" xr:uid="{00000000-0005-0000-0000-0000AD100000}"/>
    <cellStyle name="Normal 2 4 5 3 8 2" xfId="13146" xr:uid="{82539AC6-0078-4106-896A-5D4110451529}"/>
    <cellStyle name="Normal 2 4 5 3 9" xfId="8931" xr:uid="{7CAE2CA0-3FF0-4A71-B8CF-36623B9B377F}"/>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07" xr:uid="{F43F997F-AE1F-46D4-8583-6E198EAB3A58}"/>
    <cellStyle name="Normal 2 4 5 4 2 2 3" xfId="11492" xr:uid="{340B83D8-CF9A-4B21-A187-94088553C613}"/>
    <cellStyle name="Normal 2 4 5 4 2 3" xfId="5115" xr:uid="{00000000-0005-0000-0000-0000B2100000}"/>
    <cellStyle name="Normal 2 4 5 4 2 3 2" xfId="13562" xr:uid="{480A2728-7EC6-4606-8B57-EFE5D0D3DBE0}"/>
    <cellStyle name="Normal 2 4 5 4 2 4" xfId="9347" xr:uid="{D8850D1A-0BFB-4371-8F0E-A2490FDAB9DA}"/>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0" xr:uid="{D6DE70D2-04CA-486C-8444-2FEB2B61C510}"/>
    <cellStyle name="Normal 2 4 5 4 3 2 3" xfId="11905" xr:uid="{91B83D73-8222-4686-80B2-A2F29D77E585}"/>
    <cellStyle name="Normal 2 4 5 4 3 3" xfId="5528" xr:uid="{00000000-0005-0000-0000-0000B6100000}"/>
    <cellStyle name="Normal 2 4 5 4 3 3 2" xfId="13975" xr:uid="{026078F4-9B71-4499-8DDF-B749F2FFABCD}"/>
    <cellStyle name="Normal 2 4 5 4 3 4" xfId="9760" xr:uid="{4420F8B5-C74F-447D-B407-3D57321A5B88}"/>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3" xr:uid="{1D445D52-34FC-489F-9141-390E35806D33}"/>
    <cellStyle name="Normal 2 4 5 4 4 2 3" xfId="12318" xr:uid="{27B19B15-2EEB-408D-B6D5-28C293F6514A}"/>
    <cellStyle name="Normal 2 4 5 4 4 3" xfId="5941" xr:uid="{00000000-0005-0000-0000-0000BA100000}"/>
    <cellStyle name="Normal 2 4 5 4 4 3 2" xfId="14388" xr:uid="{AB9C012A-00B8-4211-8E8C-466A668DCB0C}"/>
    <cellStyle name="Normal 2 4 5 4 4 4" xfId="10173" xr:uid="{5E42CEE4-288C-4D8D-9343-C0983CE7D763}"/>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6" xr:uid="{23376AA2-171F-4C37-86E1-C6612AF0F20B}"/>
    <cellStyle name="Normal 2 4 5 4 5 2 3" xfId="12731" xr:uid="{BC208B29-C77E-4170-ADE8-449C53424739}"/>
    <cellStyle name="Normal 2 4 5 4 5 3" xfId="6354" xr:uid="{00000000-0005-0000-0000-0000BE100000}"/>
    <cellStyle name="Normal 2 4 5 4 5 3 2" xfId="14801" xr:uid="{CF75ECE2-1577-43D3-8471-313082F407C2}"/>
    <cellStyle name="Normal 2 4 5 4 5 4" xfId="10586" xr:uid="{CD0113F3-4058-4D2E-88D8-DC1B429B5F12}"/>
    <cellStyle name="Normal 2 4 5 4 6" xfId="2484" xr:uid="{00000000-0005-0000-0000-0000BF100000}"/>
    <cellStyle name="Normal 2 4 5 4 6 2" xfId="6767" xr:uid="{00000000-0005-0000-0000-0000C0100000}"/>
    <cellStyle name="Normal 2 4 5 4 6 2 2" xfId="15214" xr:uid="{901C336F-14BD-4CAA-AC52-2DB60E383C37}"/>
    <cellStyle name="Normal 2 4 5 4 6 3" xfId="10999" xr:uid="{A91CE9C4-3323-4BEE-BB82-78F552636706}"/>
    <cellStyle name="Normal 2 4 5 4 7" xfId="4701" xr:uid="{00000000-0005-0000-0000-0000C1100000}"/>
    <cellStyle name="Normal 2 4 5 4 7 2" xfId="13148" xr:uid="{5096E33A-B0FA-442F-9028-66828FB246C8}"/>
    <cellStyle name="Normal 2 4 5 4 8" xfId="8933" xr:uid="{6BCEB90D-1FF2-4504-B3B6-1414C875C617}"/>
    <cellStyle name="Normal 2 4 5 5" xfId="792" xr:uid="{00000000-0005-0000-0000-0000C2100000}"/>
    <cellStyle name="Normal 2 4 5 5 2" xfId="3031" xr:uid="{00000000-0005-0000-0000-0000C3100000}"/>
    <cellStyle name="Normal 2 4 5 5 2 2" xfId="7253" xr:uid="{00000000-0005-0000-0000-0000C4100000}"/>
    <cellStyle name="Normal 2 4 5 5 2 2 2" xfId="15700" xr:uid="{690AA272-D59D-4E65-9E62-F43DDCD530A0}"/>
    <cellStyle name="Normal 2 4 5 5 2 3" xfId="11485" xr:uid="{E3325352-4BA0-45DD-9240-87888648756C}"/>
    <cellStyle name="Normal 2 4 5 5 3" xfId="5108" xr:uid="{00000000-0005-0000-0000-0000C5100000}"/>
    <cellStyle name="Normal 2 4 5 5 3 2" xfId="13555" xr:uid="{8FD4114A-9E7D-4C99-8C93-5F39C8787B35}"/>
    <cellStyle name="Normal 2 4 5 5 4" xfId="9340" xr:uid="{8E1456C6-5A71-4308-8BAF-085BB03B1CD7}"/>
    <cellStyle name="Normal 2 4 5 6" xfId="1214" xr:uid="{00000000-0005-0000-0000-0000C6100000}"/>
    <cellStyle name="Normal 2 4 5 6 2" xfId="3444" xr:uid="{00000000-0005-0000-0000-0000C7100000}"/>
    <cellStyle name="Normal 2 4 5 6 2 2" xfId="7666" xr:uid="{00000000-0005-0000-0000-0000C8100000}"/>
    <cellStyle name="Normal 2 4 5 6 2 2 2" xfId="16113" xr:uid="{0AF4F4C2-994C-4A17-A4CA-C52C00B2A811}"/>
    <cellStyle name="Normal 2 4 5 6 2 3" xfId="11898" xr:uid="{ED2ACD1C-2D43-4210-8B47-ED72D55A64B5}"/>
    <cellStyle name="Normal 2 4 5 6 3" xfId="5521" xr:uid="{00000000-0005-0000-0000-0000C9100000}"/>
    <cellStyle name="Normal 2 4 5 6 3 2" xfId="13968" xr:uid="{3089FE1F-7B27-4B5D-B669-AF78FCC43784}"/>
    <cellStyle name="Normal 2 4 5 6 4" xfId="9753" xr:uid="{B6F40155-8A5F-4475-A581-A544B47728A0}"/>
    <cellStyle name="Normal 2 4 5 7" xfId="1627" xr:uid="{00000000-0005-0000-0000-0000CA100000}"/>
    <cellStyle name="Normal 2 4 5 7 2" xfId="3857" xr:uid="{00000000-0005-0000-0000-0000CB100000}"/>
    <cellStyle name="Normal 2 4 5 7 2 2" xfId="8079" xr:uid="{00000000-0005-0000-0000-0000CC100000}"/>
    <cellStyle name="Normal 2 4 5 7 2 2 2" xfId="16526" xr:uid="{6840A617-E0AC-4878-BED8-71D16A4E2533}"/>
    <cellStyle name="Normal 2 4 5 7 2 3" xfId="12311" xr:uid="{639CBF0A-B0F0-4D84-A85C-418C6CEC8A36}"/>
    <cellStyle name="Normal 2 4 5 7 3" xfId="5934" xr:uid="{00000000-0005-0000-0000-0000CD100000}"/>
    <cellStyle name="Normal 2 4 5 7 3 2" xfId="14381" xr:uid="{3D7F4461-1406-443F-AC5A-63AA8F49229A}"/>
    <cellStyle name="Normal 2 4 5 7 4" xfId="10166" xr:uid="{A891838E-4257-4ADA-975C-AFC336DC43FF}"/>
    <cellStyle name="Normal 2 4 5 8" xfId="2041" xr:uid="{00000000-0005-0000-0000-0000CE100000}"/>
    <cellStyle name="Normal 2 4 5 8 2" xfId="4270" xr:uid="{00000000-0005-0000-0000-0000CF100000}"/>
    <cellStyle name="Normal 2 4 5 8 2 2" xfId="8492" xr:uid="{00000000-0005-0000-0000-0000D0100000}"/>
    <cellStyle name="Normal 2 4 5 8 2 2 2" xfId="16939" xr:uid="{A7FAE5A7-958C-427A-867D-25656C8F0A9A}"/>
    <cellStyle name="Normal 2 4 5 8 2 3" xfId="12724" xr:uid="{B593E539-48EA-48CD-831C-EC2A5B04F267}"/>
    <cellStyle name="Normal 2 4 5 8 3" xfId="6347" xr:uid="{00000000-0005-0000-0000-0000D1100000}"/>
    <cellStyle name="Normal 2 4 5 8 3 2" xfId="14794" xr:uid="{355C8015-0351-4789-A5A9-DDD69A263699}"/>
    <cellStyle name="Normal 2 4 5 8 4" xfId="10579" xr:uid="{9DBC7337-590F-4303-BCEB-C05705B954AE}"/>
    <cellStyle name="Normal 2 4 5 9" xfId="2477" xr:uid="{00000000-0005-0000-0000-0000D2100000}"/>
    <cellStyle name="Normal 2 4 5 9 2" xfId="6760" xr:uid="{00000000-0005-0000-0000-0000D3100000}"/>
    <cellStyle name="Normal 2 4 5 9 2 2" xfId="15207" xr:uid="{195F2E6C-013E-4E7F-81E6-74BED2D780E9}"/>
    <cellStyle name="Normal 2 4 5 9 3" xfId="10992" xr:uid="{CA10F9FD-CDAE-4B2D-A9CF-BEF51965D338}"/>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09" xr:uid="{8586DD79-CAEE-4E6E-AE93-5E6DA44F6C71}"/>
    <cellStyle name="Normal 2 4 7 2 2 2 3" xfId="11494" xr:uid="{7202A759-051E-4118-9E85-F78216E656FF}"/>
    <cellStyle name="Normal 2 4 7 2 2 3" xfId="5117" xr:uid="{00000000-0005-0000-0000-0000DA100000}"/>
    <cellStyle name="Normal 2 4 7 2 2 3 2" xfId="13564" xr:uid="{87329886-C38C-48F6-9D41-14EC3A5F799F}"/>
    <cellStyle name="Normal 2 4 7 2 2 4" xfId="9349" xr:uid="{32BEA172-01FB-4B95-8F88-3A5991D15D19}"/>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2" xr:uid="{1B5F4F02-302F-4A70-A9DF-F1DFC77A0B66}"/>
    <cellStyle name="Normal 2 4 7 2 3 2 3" xfId="11907" xr:uid="{4B3A6758-D261-4D2A-9AB7-1F64FB602A41}"/>
    <cellStyle name="Normal 2 4 7 2 3 3" xfId="5530" xr:uid="{00000000-0005-0000-0000-0000DE100000}"/>
    <cellStyle name="Normal 2 4 7 2 3 3 2" xfId="13977" xr:uid="{5FB4FABA-82F4-4EB8-955D-40F399D83DE7}"/>
    <cellStyle name="Normal 2 4 7 2 3 4" xfId="9762" xr:uid="{309261E6-29FF-49D4-A28D-A0171A33C06D}"/>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5" xr:uid="{0F4058F9-8580-43FC-A9E3-6C5C9AB3C40B}"/>
    <cellStyle name="Normal 2 4 7 2 4 2 3" xfId="12320" xr:uid="{BAB671BE-674E-416E-91C5-7C22876F3436}"/>
    <cellStyle name="Normal 2 4 7 2 4 3" xfId="5943" xr:uid="{00000000-0005-0000-0000-0000E2100000}"/>
    <cellStyle name="Normal 2 4 7 2 4 3 2" xfId="14390" xr:uid="{74A73142-38E6-47F1-829D-DD66E98774B6}"/>
    <cellStyle name="Normal 2 4 7 2 4 4" xfId="10175" xr:uid="{C8B78BFE-562C-451D-8159-B6AA37480262}"/>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48" xr:uid="{66532585-4195-40D3-A49F-A4F359C0FE8D}"/>
    <cellStyle name="Normal 2 4 7 2 5 2 3" xfId="12733" xr:uid="{4F27414B-3F40-47B8-AE23-00533DCD7E7D}"/>
    <cellStyle name="Normal 2 4 7 2 5 3" xfId="6356" xr:uid="{00000000-0005-0000-0000-0000E6100000}"/>
    <cellStyle name="Normal 2 4 7 2 5 3 2" xfId="14803" xr:uid="{1A0DCEE7-CF8D-4D5C-9F0B-EE8419116FEF}"/>
    <cellStyle name="Normal 2 4 7 2 5 4" xfId="10588" xr:uid="{1782F737-48FB-49C2-9953-7C7EB56914BB}"/>
    <cellStyle name="Normal 2 4 7 2 6" xfId="2486" xr:uid="{00000000-0005-0000-0000-0000E7100000}"/>
    <cellStyle name="Normal 2 4 7 2 6 2" xfId="6769" xr:uid="{00000000-0005-0000-0000-0000E8100000}"/>
    <cellStyle name="Normal 2 4 7 2 6 2 2" xfId="15216" xr:uid="{B6EA3FCF-5A8C-4B22-ADAE-6DAB944D6DF7}"/>
    <cellStyle name="Normal 2 4 7 2 6 3" xfId="11001" xr:uid="{53731E6C-F32D-433D-905D-329993E3EA66}"/>
    <cellStyle name="Normal 2 4 7 2 7" xfId="4703" xr:uid="{00000000-0005-0000-0000-0000E9100000}"/>
    <cellStyle name="Normal 2 4 7 2 7 2" xfId="13150" xr:uid="{391AF3C8-B99E-4542-8026-BC1CC2A82950}"/>
    <cellStyle name="Normal 2 4 7 2 8" xfId="8935" xr:uid="{1D661B7E-556D-4A25-915C-4852265611D2}"/>
    <cellStyle name="Normal 2 4 7 3" xfId="800" xr:uid="{00000000-0005-0000-0000-0000EA100000}"/>
    <cellStyle name="Normal 2 4 7 3 2" xfId="3039" xr:uid="{00000000-0005-0000-0000-0000EB100000}"/>
    <cellStyle name="Normal 2 4 7 3 2 2" xfId="7261" xr:uid="{00000000-0005-0000-0000-0000EC100000}"/>
    <cellStyle name="Normal 2 4 7 3 2 2 2" xfId="15708" xr:uid="{5B2DFCA4-72C7-49C8-8EA0-0CDF1CB99610}"/>
    <cellStyle name="Normal 2 4 7 3 2 3" xfId="11493" xr:uid="{9C5491A5-37AC-46A4-A88B-73F87269BDB1}"/>
    <cellStyle name="Normal 2 4 7 3 3" xfId="5116" xr:uid="{00000000-0005-0000-0000-0000ED100000}"/>
    <cellStyle name="Normal 2 4 7 3 3 2" xfId="13563" xr:uid="{1090A6FF-C882-4768-9069-E0FDC566E9BE}"/>
    <cellStyle name="Normal 2 4 7 3 4" xfId="9348" xr:uid="{304711EA-076B-43F5-BB5C-3DE516736DD6}"/>
    <cellStyle name="Normal 2 4 7 4" xfId="1222" xr:uid="{00000000-0005-0000-0000-0000EE100000}"/>
    <cellStyle name="Normal 2 4 7 4 2" xfId="3452" xr:uid="{00000000-0005-0000-0000-0000EF100000}"/>
    <cellStyle name="Normal 2 4 7 4 2 2" xfId="7674" xr:uid="{00000000-0005-0000-0000-0000F0100000}"/>
    <cellStyle name="Normal 2 4 7 4 2 2 2" xfId="16121" xr:uid="{4AF2A364-EA99-4239-81F3-33CADB18239D}"/>
    <cellStyle name="Normal 2 4 7 4 2 3" xfId="11906" xr:uid="{717867B0-1BF3-4A4A-BE32-261C8F582F5B}"/>
    <cellStyle name="Normal 2 4 7 4 3" xfId="5529" xr:uid="{00000000-0005-0000-0000-0000F1100000}"/>
    <cellStyle name="Normal 2 4 7 4 3 2" xfId="13976" xr:uid="{654BD018-D911-4F92-8A90-CA1BB394ED6C}"/>
    <cellStyle name="Normal 2 4 7 4 4" xfId="9761" xr:uid="{3437ADF3-6853-42E3-964F-A256D4B28ED4}"/>
    <cellStyle name="Normal 2 4 7 5" xfId="1635" xr:uid="{00000000-0005-0000-0000-0000F2100000}"/>
    <cellStyle name="Normal 2 4 7 5 2" xfId="3865" xr:uid="{00000000-0005-0000-0000-0000F3100000}"/>
    <cellStyle name="Normal 2 4 7 5 2 2" xfId="8087" xr:uid="{00000000-0005-0000-0000-0000F4100000}"/>
    <cellStyle name="Normal 2 4 7 5 2 2 2" xfId="16534" xr:uid="{E10178BA-ED90-4C0E-8F22-B81103C112AF}"/>
    <cellStyle name="Normal 2 4 7 5 2 3" xfId="12319" xr:uid="{2DCF18CD-DB79-4105-869C-15B67BD3E7CA}"/>
    <cellStyle name="Normal 2 4 7 5 3" xfId="5942" xr:uid="{00000000-0005-0000-0000-0000F5100000}"/>
    <cellStyle name="Normal 2 4 7 5 3 2" xfId="14389" xr:uid="{CB21E356-6818-4D20-B351-A381404C414E}"/>
    <cellStyle name="Normal 2 4 7 5 4" xfId="10174" xr:uid="{9971AA18-8D48-440D-B7AE-151DE93626F4}"/>
    <cellStyle name="Normal 2 4 7 6" xfId="2049" xr:uid="{00000000-0005-0000-0000-0000F6100000}"/>
    <cellStyle name="Normal 2 4 7 6 2" xfId="4278" xr:uid="{00000000-0005-0000-0000-0000F7100000}"/>
    <cellStyle name="Normal 2 4 7 6 2 2" xfId="8500" xr:uid="{00000000-0005-0000-0000-0000F8100000}"/>
    <cellStyle name="Normal 2 4 7 6 2 2 2" xfId="16947" xr:uid="{2CB83397-A011-4DE5-826A-F9EDBE1E8BDE}"/>
    <cellStyle name="Normal 2 4 7 6 2 3" xfId="12732" xr:uid="{DF0D0008-5CFD-44BF-B03B-65FD6A99F49C}"/>
    <cellStyle name="Normal 2 4 7 6 3" xfId="6355" xr:uid="{00000000-0005-0000-0000-0000F9100000}"/>
    <cellStyle name="Normal 2 4 7 6 3 2" xfId="14802" xr:uid="{877F821F-B24E-4620-A5B8-5C0D35FEADE7}"/>
    <cellStyle name="Normal 2 4 7 6 4" xfId="10587" xr:uid="{0358B344-A4A4-4657-AEF6-D7AB6C8DCA6F}"/>
    <cellStyle name="Normal 2 4 7 7" xfId="2485" xr:uid="{00000000-0005-0000-0000-0000FA100000}"/>
    <cellStyle name="Normal 2 4 7 7 2" xfId="6768" xr:uid="{00000000-0005-0000-0000-0000FB100000}"/>
    <cellStyle name="Normal 2 4 7 7 2 2" xfId="15215" xr:uid="{3FE5B1DB-6AFF-48EA-B92D-C8F63597D546}"/>
    <cellStyle name="Normal 2 4 7 7 3" xfId="11000" xr:uid="{B68ECD4F-69AD-4192-B397-AA76BCA8D15C}"/>
    <cellStyle name="Normal 2 4 7 8" xfId="4702" xr:uid="{00000000-0005-0000-0000-0000FC100000}"/>
    <cellStyle name="Normal 2 4 7 8 2" xfId="13149" xr:uid="{451743E6-A3DF-4637-9C1C-D12EFA8DFC4E}"/>
    <cellStyle name="Normal 2 4 7 9" xfId="8934" xr:uid="{1FD696F5-3F1B-410D-A1B2-C7A2E340156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0" xr:uid="{A583940E-7C1B-4C99-9D53-4256F1AADD10}"/>
    <cellStyle name="Normal 2 4 8 2 2 3" xfId="11495" xr:uid="{9D3A69B0-B653-45DB-BA34-8CBB4557E81F}"/>
    <cellStyle name="Normal 2 4 8 2 3" xfId="5118" xr:uid="{00000000-0005-0000-0000-000001110000}"/>
    <cellStyle name="Normal 2 4 8 2 3 2" xfId="13565" xr:uid="{E8055D99-D907-42BB-A378-62A404614410}"/>
    <cellStyle name="Normal 2 4 8 2 4" xfId="9350" xr:uid="{9C98E0D5-E361-4FC9-983D-9C44F659820C}"/>
    <cellStyle name="Normal 2 4 8 3" xfId="1224" xr:uid="{00000000-0005-0000-0000-000002110000}"/>
    <cellStyle name="Normal 2 4 8 3 2" xfId="3454" xr:uid="{00000000-0005-0000-0000-000003110000}"/>
    <cellStyle name="Normal 2 4 8 3 2 2" xfId="7676" xr:uid="{00000000-0005-0000-0000-000004110000}"/>
    <cellStyle name="Normal 2 4 8 3 2 2 2" xfId="16123" xr:uid="{7B3983EF-28F0-4E7E-9C6D-B8A4C9C444D7}"/>
    <cellStyle name="Normal 2 4 8 3 2 3" xfId="11908" xr:uid="{1CBE07EA-E91B-44CD-A7DC-E89B50E75091}"/>
    <cellStyle name="Normal 2 4 8 3 3" xfId="5531" xr:uid="{00000000-0005-0000-0000-000005110000}"/>
    <cellStyle name="Normal 2 4 8 3 3 2" xfId="13978" xr:uid="{1B6095A5-B62A-4B7E-8365-6CCB8544A408}"/>
    <cellStyle name="Normal 2 4 8 3 4" xfId="9763" xr:uid="{78EA4F87-2995-4E18-B309-9018EDEA6BAA}"/>
    <cellStyle name="Normal 2 4 8 4" xfId="1637" xr:uid="{00000000-0005-0000-0000-000006110000}"/>
    <cellStyle name="Normal 2 4 8 4 2" xfId="3867" xr:uid="{00000000-0005-0000-0000-000007110000}"/>
    <cellStyle name="Normal 2 4 8 4 2 2" xfId="8089" xr:uid="{00000000-0005-0000-0000-000008110000}"/>
    <cellStyle name="Normal 2 4 8 4 2 2 2" xfId="16536" xr:uid="{A343248A-6527-493B-8BE3-08646ABF1D93}"/>
    <cellStyle name="Normal 2 4 8 4 2 3" xfId="12321" xr:uid="{AA7C0717-A66E-4486-8950-93A6CCB4E45E}"/>
    <cellStyle name="Normal 2 4 8 4 3" xfId="5944" xr:uid="{00000000-0005-0000-0000-000009110000}"/>
    <cellStyle name="Normal 2 4 8 4 3 2" xfId="14391" xr:uid="{1AB236D7-A448-4DBB-878F-041E58BE0F0E}"/>
    <cellStyle name="Normal 2 4 8 4 4" xfId="10176" xr:uid="{521439DA-3B37-4C2F-AA39-E87FF7DA0A83}"/>
    <cellStyle name="Normal 2 4 8 5" xfId="2051" xr:uid="{00000000-0005-0000-0000-00000A110000}"/>
    <cellStyle name="Normal 2 4 8 5 2" xfId="4280" xr:uid="{00000000-0005-0000-0000-00000B110000}"/>
    <cellStyle name="Normal 2 4 8 5 2 2" xfId="8502" xr:uid="{00000000-0005-0000-0000-00000C110000}"/>
    <cellStyle name="Normal 2 4 8 5 2 2 2" xfId="16949" xr:uid="{8BEDA382-D975-4F77-BF7C-6C756960FEBC}"/>
    <cellStyle name="Normal 2 4 8 5 2 3" xfId="12734" xr:uid="{0DA126FC-9240-47F7-9DC3-B11427C125F3}"/>
    <cellStyle name="Normal 2 4 8 5 3" xfId="6357" xr:uid="{00000000-0005-0000-0000-00000D110000}"/>
    <cellStyle name="Normal 2 4 8 5 3 2" xfId="14804" xr:uid="{47AB9097-6AC0-47DA-98DC-2C71D3A98726}"/>
    <cellStyle name="Normal 2 4 8 5 4" xfId="10589" xr:uid="{030390D6-8F1E-4045-BB51-01C78AECA983}"/>
    <cellStyle name="Normal 2 4 8 6" xfId="2487" xr:uid="{00000000-0005-0000-0000-00000E110000}"/>
    <cellStyle name="Normal 2 4 8 6 2" xfId="6770" xr:uid="{00000000-0005-0000-0000-00000F110000}"/>
    <cellStyle name="Normal 2 4 8 6 2 2" xfId="15217" xr:uid="{49C51473-FE51-4F7C-A5EC-3240B4CAD14E}"/>
    <cellStyle name="Normal 2 4 8 6 3" xfId="11002" xr:uid="{6B73CD3E-D871-47FA-BF40-5D32971AAE00}"/>
    <cellStyle name="Normal 2 4 8 7" xfId="4704" xr:uid="{00000000-0005-0000-0000-000010110000}"/>
    <cellStyle name="Normal 2 4 8 7 2" xfId="13151" xr:uid="{4C4E083F-4946-488A-8481-581B72B2C1E1}"/>
    <cellStyle name="Normal 2 4 8 8" xfId="8936" xr:uid="{99BF10B7-990F-4355-8E83-80BAD7F719D1}"/>
    <cellStyle name="Normal 2 5" xfId="315" xr:uid="{00000000-0005-0000-0000-000011110000}"/>
    <cellStyle name="Normal 2 5 10" xfId="4705" xr:uid="{00000000-0005-0000-0000-000012110000}"/>
    <cellStyle name="Normal 2 5 10 2" xfId="13152" xr:uid="{5D9EE892-37B2-46A0-88C0-1D371538155B}"/>
    <cellStyle name="Normal 2 5 11" xfId="8937" xr:uid="{FAB5B613-C5C7-46D8-B531-4B94799F236F}"/>
    <cellStyle name="Normal 2 5 2" xfId="316" xr:uid="{00000000-0005-0000-0000-000013110000}"/>
    <cellStyle name="Normal 2 5 3" xfId="317" xr:uid="{00000000-0005-0000-0000-000014110000}"/>
    <cellStyle name="Normal 2 5 4" xfId="318" xr:uid="{00000000-0005-0000-0000-000015110000}"/>
    <cellStyle name="Normal 2 5 4 10" xfId="8938" xr:uid="{AABCF739-167A-49C4-ABCD-2575F5543C6D}"/>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4" xr:uid="{51042784-DB0A-4450-80DE-406E8630D6BD}"/>
    <cellStyle name="Normal 2 5 4 2 2 2 2 3" xfId="11499" xr:uid="{1AA4A4A7-D8F9-46BA-8F67-91473694A850}"/>
    <cellStyle name="Normal 2 5 4 2 2 2 3" xfId="5122" xr:uid="{00000000-0005-0000-0000-00001B110000}"/>
    <cellStyle name="Normal 2 5 4 2 2 2 3 2" xfId="13569" xr:uid="{3AF88097-F521-44CE-A061-EF7FE24ED7F1}"/>
    <cellStyle name="Normal 2 5 4 2 2 2 4" xfId="9354" xr:uid="{BE32874F-4FC5-45A8-884E-ADA88DA9BFAE}"/>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27" xr:uid="{E1F3F665-7A54-4CAB-A449-6D2C843FF24A}"/>
    <cellStyle name="Normal 2 5 4 2 2 3 2 3" xfId="11912" xr:uid="{99B52011-CEC7-4675-BB5A-10219D845A19}"/>
    <cellStyle name="Normal 2 5 4 2 2 3 3" xfId="5535" xr:uid="{00000000-0005-0000-0000-00001F110000}"/>
    <cellStyle name="Normal 2 5 4 2 2 3 3 2" xfId="13982" xr:uid="{3A9DF02B-4FC7-4E59-835E-32FDAC6A6B3A}"/>
    <cellStyle name="Normal 2 5 4 2 2 3 4" xfId="9767" xr:uid="{E6C591A4-417D-46CB-931E-FC1EC41003DE}"/>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0" xr:uid="{8382E028-2FBC-48BE-9716-D6931049FF0E}"/>
    <cellStyle name="Normal 2 5 4 2 2 4 2 3" xfId="12325" xr:uid="{6967D832-D673-4C69-A3B5-C61FECDE1EFF}"/>
    <cellStyle name="Normal 2 5 4 2 2 4 3" xfId="5948" xr:uid="{00000000-0005-0000-0000-000023110000}"/>
    <cellStyle name="Normal 2 5 4 2 2 4 3 2" xfId="14395" xr:uid="{7B8B8C45-A031-4ABD-9C1C-0B8093894BCD}"/>
    <cellStyle name="Normal 2 5 4 2 2 4 4" xfId="10180" xr:uid="{28ACDFD0-E536-4DEC-9CAE-A8CE47FDA424}"/>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3" xr:uid="{46D4B8A1-4221-498D-989F-03F113CFD20C}"/>
    <cellStyle name="Normal 2 5 4 2 2 5 2 3" xfId="12738" xr:uid="{4F4F078C-5051-4C17-9518-6EB7E963079B}"/>
    <cellStyle name="Normal 2 5 4 2 2 5 3" xfId="6361" xr:uid="{00000000-0005-0000-0000-000027110000}"/>
    <cellStyle name="Normal 2 5 4 2 2 5 3 2" xfId="14808" xr:uid="{AD513B57-145F-4450-847E-2D41B92EA9BF}"/>
    <cellStyle name="Normal 2 5 4 2 2 5 4" xfId="10593" xr:uid="{80356D53-B6DE-4C33-A923-66F45349D148}"/>
    <cellStyle name="Normal 2 5 4 2 2 6" xfId="2491" xr:uid="{00000000-0005-0000-0000-000028110000}"/>
    <cellStyle name="Normal 2 5 4 2 2 6 2" xfId="6774" xr:uid="{00000000-0005-0000-0000-000029110000}"/>
    <cellStyle name="Normal 2 5 4 2 2 6 2 2" xfId="15221" xr:uid="{0AC4E90E-2589-4D34-8556-7A3507A39291}"/>
    <cellStyle name="Normal 2 5 4 2 2 6 3" xfId="11006" xr:uid="{2367B363-04FA-4C33-85E8-00BC61C42C55}"/>
    <cellStyle name="Normal 2 5 4 2 2 7" xfId="4708" xr:uid="{00000000-0005-0000-0000-00002A110000}"/>
    <cellStyle name="Normal 2 5 4 2 2 7 2" xfId="13155" xr:uid="{0B6208E0-D542-4755-9968-3F142BF73EF7}"/>
    <cellStyle name="Normal 2 5 4 2 2 8" xfId="8940" xr:uid="{AC46FD5D-ED3F-49DB-A723-63BF131122EF}"/>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3" xr:uid="{29EE8DF6-552C-45B9-BBEF-8F8679C5C86D}"/>
    <cellStyle name="Normal 2 5 4 2 3 2 3" xfId="11498" xr:uid="{D528EC32-DFBE-4A57-A245-197577642F8D}"/>
    <cellStyle name="Normal 2 5 4 2 3 3" xfId="5121" xr:uid="{00000000-0005-0000-0000-00002E110000}"/>
    <cellStyle name="Normal 2 5 4 2 3 3 2" xfId="13568" xr:uid="{9B084651-CC9E-48BC-B2C4-D0D9CD59905D}"/>
    <cellStyle name="Normal 2 5 4 2 3 4" xfId="9353" xr:uid="{991B1625-41E6-47A2-8DDB-F2C5152EFF7B}"/>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6" xr:uid="{16897018-07F4-4154-973F-91CFBB81AEA6}"/>
    <cellStyle name="Normal 2 5 4 2 4 2 3" xfId="11911" xr:uid="{06643867-12F3-44B3-BE50-07A65031B472}"/>
    <cellStyle name="Normal 2 5 4 2 4 3" xfId="5534" xr:uid="{00000000-0005-0000-0000-000032110000}"/>
    <cellStyle name="Normal 2 5 4 2 4 3 2" xfId="13981" xr:uid="{7A7CB990-E00F-4D1E-A9E4-A8FB31092EE1}"/>
    <cellStyle name="Normal 2 5 4 2 4 4" xfId="9766" xr:uid="{258DA3C9-FD00-4442-81CB-AE49B22F443F}"/>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39" xr:uid="{114FBE3B-BAD2-4212-985A-5C39FD50928B}"/>
    <cellStyle name="Normal 2 5 4 2 5 2 3" xfId="12324" xr:uid="{05CD01F9-150E-4277-AB75-3122FB00B420}"/>
    <cellStyle name="Normal 2 5 4 2 5 3" xfId="5947" xr:uid="{00000000-0005-0000-0000-000036110000}"/>
    <cellStyle name="Normal 2 5 4 2 5 3 2" xfId="14394" xr:uid="{66FF9129-150A-4AA6-B33E-90437A1382CF}"/>
    <cellStyle name="Normal 2 5 4 2 5 4" xfId="10179" xr:uid="{8756BD0D-F8A2-460A-8DF1-EEF943225EF4}"/>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2" xr:uid="{C0ADD3B2-4281-487F-A747-AAA3560825AA}"/>
    <cellStyle name="Normal 2 5 4 2 6 2 3" xfId="12737" xr:uid="{FA82D766-2984-42C2-9EB2-165D3992BD70}"/>
    <cellStyle name="Normal 2 5 4 2 6 3" xfId="6360" xr:uid="{00000000-0005-0000-0000-00003A110000}"/>
    <cellStyle name="Normal 2 5 4 2 6 3 2" xfId="14807" xr:uid="{91AF6612-17B5-4C5A-A54B-3976DEEDAD7C}"/>
    <cellStyle name="Normal 2 5 4 2 6 4" xfId="10592" xr:uid="{6D8795D8-5B14-48E3-BCD2-3F4089AAC626}"/>
    <cellStyle name="Normal 2 5 4 2 7" xfId="2490" xr:uid="{00000000-0005-0000-0000-00003B110000}"/>
    <cellStyle name="Normal 2 5 4 2 7 2" xfId="6773" xr:uid="{00000000-0005-0000-0000-00003C110000}"/>
    <cellStyle name="Normal 2 5 4 2 7 2 2" xfId="15220" xr:uid="{C635BDF5-EE99-445D-9D5F-3B9E46FB1943}"/>
    <cellStyle name="Normal 2 5 4 2 7 3" xfId="11005" xr:uid="{2956584A-59A4-485D-8CAD-059DA65DA975}"/>
    <cellStyle name="Normal 2 5 4 2 8" xfId="4707" xr:uid="{00000000-0005-0000-0000-00003D110000}"/>
    <cellStyle name="Normal 2 5 4 2 8 2" xfId="13154" xr:uid="{0C562E5C-7FF2-4DAD-91BC-5A12445B5B59}"/>
    <cellStyle name="Normal 2 5 4 2 9" xfId="8939" xr:uid="{D178A211-E6C3-4E95-96C7-5F300A39A38B}"/>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5" xr:uid="{64545E02-D426-472A-8AC2-ADFF2B86843F}"/>
    <cellStyle name="Normal 2 5 4 3 2 2 3" xfId="11500" xr:uid="{FA929C33-ECC2-4DB6-A160-A19D5F9338CB}"/>
    <cellStyle name="Normal 2 5 4 3 2 3" xfId="5123" xr:uid="{00000000-0005-0000-0000-000042110000}"/>
    <cellStyle name="Normal 2 5 4 3 2 3 2" xfId="13570" xr:uid="{88D650B2-19DC-4BE7-A57D-81336FEAB946}"/>
    <cellStyle name="Normal 2 5 4 3 2 4" xfId="9355" xr:uid="{CDBA7530-918C-4A4F-966C-D31FB9C16D5E}"/>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28" xr:uid="{0E2B198E-50FD-4923-835D-B19EC2207434}"/>
    <cellStyle name="Normal 2 5 4 3 3 2 3" xfId="11913" xr:uid="{E32ADAEF-4261-4DBB-A9B4-BBCA21FF6B07}"/>
    <cellStyle name="Normal 2 5 4 3 3 3" xfId="5536" xr:uid="{00000000-0005-0000-0000-000046110000}"/>
    <cellStyle name="Normal 2 5 4 3 3 3 2" xfId="13983" xr:uid="{3F838E5C-8302-4EAD-904F-7E8F5CB970C9}"/>
    <cellStyle name="Normal 2 5 4 3 3 4" xfId="9768" xr:uid="{971666E3-FEBF-4EE7-95F6-5E267CCE6B61}"/>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1" xr:uid="{35507113-3506-46EB-A513-47003E887219}"/>
    <cellStyle name="Normal 2 5 4 3 4 2 3" xfId="12326" xr:uid="{809475C2-378F-499C-91BF-AA741165D299}"/>
    <cellStyle name="Normal 2 5 4 3 4 3" xfId="5949" xr:uid="{00000000-0005-0000-0000-00004A110000}"/>
    <cellStyle name="Normal 2 5 4 3 4 3 2" xfId="14396" xr:uid="{89AF0FBD-40C7-49D9-8483-4EB2ED63E3CC}"/>
    <cellStyle name="Normal 2 5 4 3 4 4" xfId="10181" xr:uid="{A03FF260-1C14-497D-9FE9-64C40999E984}"/>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4" xr:uid="{5FABEAE7-EFE3-4C2C-A456-6F5F8D27BFA4}"/>
    <cellStyle name="Normal 2 5 4 3 5 2 3" xfId="12739" xr:uid="{BCB5C29F-1D7E-4295-8C67-9BF0117F41AB}"/>
    <cellStyle name="Normal 2 5 4 3 5 3" xfId="6362" xr:uid="{00000000-0005-0000-0000-00004E110000}"/>
    <cellStyle name="Normal 2 5 4 3 5 3 2" xfId="14809" xr:uid="{5354FF22-D35B-4FF0-8913-629066D27704}"/>
    <cellStyle name="Normal 2 5 4 3 5 4" xfId="10594" xr:uid="{41E11E7A-67FD-40ED-B968-F86F22E5B166}"/>
    <cellStyle name="Normal 2 5 4 3 6" xfId="2492" xr:uid="{00000000-0005-0000-0000-00004F110000}"/>
    <cellStyle name="Normal 2 5 4 3 6 2" xfId="6775" xr:uid="{00000000-0005-0000-0000-000050110000}"/>
    <cellStyle name="Normal 2 5 4 3 6 2 2" xfId="15222" xr:uid="{AB816B8F-00ED-4367-A5E1-4BE721B1F9BB}"/>
    <cellStyle name="Normal 2 5 4 3 6 3" xfId="11007" xr:uid="{50A80F40-2B04-4FF1-8587-FFFB81F29AF7}"/>
    <cellStyle name="Normal 2 5 4 3 7" xfId="4709" xr:uid="{00000000-0005-0000-0000-000051110000}"/>
    <cellStyle name="Normal 2 5 4 3 7 2" xfId="13156" xr:uid="{DD373190-8C52-4090-92E4-D75686D84CF5}"/>
    <cellStyle name="Normal 2 5 4 3 8" xfId="8941" xr:uid="{3F85B0FD-D418-40F6-8A23-E9CC4B356EE9}"/>
    <cellStyle name="Normal 2 5 4 4" xfId="804" xr:uid="{00000000-0005-0000-0000-000052110000}"/>
    <cellStyle name="Normal 2 5 4 4 2" xfId="3043" xr:uid="{00000000-0005-0000-0000-000053110000}"/>
    <cellStyle name="Normal 2 5 4 4 2 2" xfId="7265" xr:uid="{00000000-0005-0000-0000-000054110000}"/>
    <cellStyle name="Normal 2 5 4 4 2 2 2" xfId="15712" xr:uid="{7DF28996-7498-4F86-A5E7-99EEDE7E70F7}"/>
    <cellStyle name="Normal 2 5 4 4 2 3" xfId="11497" xr:uid="{54F91CE2-5E57-44C0-BA88-FA95465DE9F9}"/>
    <cellStyle name="Normal 2 5 4 4 3" xfId="5120" xr:uid="{00000000-0005-0000-0000-000055110000}"/>
    <cellStyle name="Normal 2 5 4 4 3 2" xfId="13567" xr:uid="{BA73567D-09EF-4950-A5AF-1643A7DE53BA}"/>
    <cellStyle name="Normal 2 5 4 4 4" xfId="9352" xr:uid="{37A943D4-503C-4965-BEDB-85770AEA6126}"/>
    <cellStyle name="Normal 2 5 4 5" xfId="1226" xr:uid="{00000000-0005-0000-0000-000056110000}"/>
    <cellStyle name="Normal 2 5 4 5 2" xfId="3456" xr:uid="{00000000-0005-0000-0000-000057110000}"/>
    <cellStyle name="Normal 2 5 4 5 2 2" xfId="7678" xr:uid="{00000000-0005-0000-0000-000058110000}"/>
    <cellStyle name="Normal 2 5 4 5 2 2 2" xfId="16125" xr:uid="{B40ECAAC-3DF8-4930-9D2E-7FF0FFC46BFE}"/>
    <cellStyle name="Normal 2 5 4 5 2 3" xfId="11910" xr:uid="{62B8230B-FDB0-49E5-B42C-EEB44B034A87}"/>
    <cellStyle name="Normal 2 5 4 5 3" xfId="5533" xr:uid="{00000000-0005-0000-0000-000059110000}"/>
    <cellStyle name="Normal 2 5 4 5 3 2" xfId="13980" xr:uid="{263C82B0-2FE3-4A7A-8B6D-618BEAE88A07}"/>
    <cellStyle name="Normal 2 5 4 5 4" xfId="9765" xr:uid="{9B0FD7D2-AAF2-449A-BC6E-6A2345AA0889}"/>
    <cellStyle name="Normal 2 5 4 6" xfId="1639" xr:uid="{00000000-0005-0000-0000-00005A110000}"/>
    <cellStyle name="Normal 2 5 4 6 2" xfId="3869" xr:uid="{00000000-0005-0000-0000-00005B110000}"/>
    <cellStyle name="Normal 2 5 4 6 2 2" xfId="8091" xr:uid="{00000000-0005-0000-0000-00005C110000}"/>
    <cellStyle name="Normal 2 5 4 6 2 2 2" xfId="16538" xr:uid="{5BE64170-E30F-4CB6-95ED-62541010F024}"/>
    <cellStyle name="Normal 2 5 4 6 2 3" xfId="12323" xr:uid="{ED21F830-B1FD-4B30-80D8-3C688258D4F8}"/>
    <cellStyle name="Normal 2 5 4 6 3" xfId="5946" xr:uid="{00000000-0005-0000-0000-00005D110000}"/>
    <cellStyle name="Normal 2 5 4 6 3 2" xfId="14393" xr:uid="{1E45ED40-7AF8-46C2-A7E7-C786BA2FB889}"/>
    <cellStyle name="Normal 2 5 4 6 4" xfId="10178" xr:uid="{2EB8BD64-99FF-4D0C-A406-BBDCAB570842}"/>
    <cellStyle name="Normal 2 5 4 7" xfId="2053" xr:uid="{00000000-0005-0000-0000-00005E110000}"/>
    <cellStyle name="Normal 2 5 4 7 2" xfId="4282" xr:uid="{00000000-0005-0000-0000-00005F110000}"/>
    <cellStyle name="Normal 2 5 4 7 2 2" xfId="8504" xr:uid="{00000000-0005-0000-0000-000060110000}"/>
    <cellStyle name="Normal 2 5 4 7 2 2 2" xfId="16951" xr:uid="{EBD18469-DD3E-4C8B-AB00-ED6B1BFBB21E}"/>
    <cellStyle name="Normal 2 5 4 7 2 3" xfId="12736" xr:uid="{DCDBDBFC-0FED-4A21-B9FC-A063095473DE}"/>
    <cellStyle name="Normal 2 5 4 7 3" xfId="6359" xr:uid="{00000000-0005-0000-0000-000061110000}"/>
    <cellStyle name="Normal 2 5 4 7 3 2" xfId="14806" xr:uid="{98AE463A-2D94-4238-A450-3DD9E2AD2F48}"/>
    <cellStyle name="Normal 2 5 4 7 4" xfId="10591" xr:uid="{F0817317-2A44-459B-A7DB-9950DC18346E}"/>
    <cellStyle name="Normal 2 5 4 8" xfId="2489" xr:uid="{00000000-0005-0000-0000-000062110000}"/>
    <cellStyle name="Normal 2 5 4 8 2" xfId="6772" xr:uid="{00000000-0005-0000-0000-000063110000}"/>
    <cellStyle name="Normal 2 5 4 8 2 2" xfId="15219" xr:uid="{956BEC2C-BD97-4285-BEDF-178B55C4937F}"/>
    <cellStyle name="Normal 2 5 4 8 3" xfId="11004" xr:uid="{F376D1B9-24E4-423D-A63E-4EDD16546ECE}"/>
    <cellStyle name="Normal 2 5 4 9" xfId="4706" xr:uid="{00000000-0005-0000-0000-000064110000}"/>
    <cellStyle name="Normal 2 5 4 9 2" xfId="13153" xr:uid="{6DB4C790-CA90-4B3B-8CCF-A309C1A9EB00}"/>
    <cellStyle name="Normal 2 5 5" xfId="803" xr:uid="{00000000-0005-0000-0000-000065110000}"/>
    <cellStyle name="Normal 2 5 5 2" xfId="3042" xr:uid="{00000000-0005-0000-0000-000066110000}"/>
    <cellStyle name="Normal 2 5 5 2 2" xfId="7264" xr:uid="{00000000-0005-0000-0000-000067110000}"/>
    <cellStyle name="Normal 2 5 5 2 2 2" xfId="15711" xr:uid="{F2F52627-84E3-42D2-BB94-802D2AB8314F}"/>
    <cellStyle name="Normal 2 5 5 2 3" xfId="11496" xr:uid="{713549C8-9031-4F94-AC62-32BE45855DBE}"/>
    <cellStyle name="Normal 2 5 5 3" xfId="5119" xr:uid="{00000000-0005-0000-0000-000068110000}"/>
    <cellStyle name="Normal 2 5 5 3 2" xfId="13566" xr:uid="{960CACB7-444E-49CF-A16D-D16D6600B1B8}"/>
    <cellStyle name="Normal 2 5 5 4" xfId="9351" xr:uid="{54C5E6CC-35C2-47E8-B3CC-EE2786166D58}"/>
    <cellStyle name="Normal 2 5 6" xfId="1225" xr:uid="{00000000-0005-0000-0000-000069110000}"/>
    <cellStyle name="Normal 2 5 6 2" xfId="3455" xr:uid="{00000000-0005-0000-0000-00006A110000}"/>
    <cellStyle name="Normal 2 5 6 2 2" xfId="7677" xr:uid="{00000000-0005-0000-0000-00006B110000}"/>
    <cellStyle name="Normal 2 5 6 2 2 2" xfId="16124" xr:uid="{33F3EAFA-4BF5-4980-A828-06DD311977B4}"/>
    <cellStyle name="Normal 2 5 6 2 3" xfId="11909" xr:uid="{1998EE59-1CE8-4DA6-88DC-89ABABF8139C}"/>
    <cellStyle name="Normal 2 5 6 3" xfId="5532" xr:uid="{00000000-0005-0000-0000-00006C110000}"/>
    <cellStyle name="Normal 2 5 6 3 2" xfId="13979" xr:uid="{A1C2AD3E-9625-42E1-95E2-98B0B9002C71}"/>
    <cellStyle name="Normal 2 5 6 4" xfId="9764" xr:uid="{898989AE-2F00-4CE4-B250-54F6AF96D20E}"/>
    <cellStyle name="Normal 2 5 7" xfId="1638" xr:uid="{00000000-0005-0000-0000-00006D110000}"/>
    <cellStyle name="Normal 2 5 7 2" xfId="3868" xr:uid="{00000000-0005-0000-0000-00006E110000}"/>
    <cellStyle name="Normal 2 5 7 2 2" xfId="8090" xr:uid="{00000000-0005-0000-0000-00006F110000}"/>
    <cellStyle name="Normal 2 5 7 2 2 2" xfId="16537" xr:uid="{0E3B190D-2891-49BB-8762-3F54FD3CA5F5}"/>
    <cellStyle name="Normal 2 5 7 2 3" xfId="12322" xr:uid="{25FDA631-A79A-4444-ADC6-4E9BC7A8DB10}"/>
    <cellStyle name="Normal 2 5 7 3" xfId="5945" xr:uid="{00000000-0005-0000-0000-000070110000}"/>
    <cellStyle name="Normal 2 5 7 3 2" xfId="14392" xr:uid="{2CA21028-9427-45D7-90BD-2E87B92AED42}"/>
    <cellStyle name="Normal 2 5 7 4" xfId="10177" xr:uid="{DDD51FD9-1F88-4A4D-8DB0-773A7D5F5D2F}"/>
    <cellStyle name="Normal 2 5 8" xfId="2052" xr:uid="{00000000-0005-0000-0000-000071110000}"/>
    <cellStyle name="Normal 2 5 8 2" xfId="4281" xr:uid="{00000000-0005-0000-0000-000072110000}"/>
    <cellStyle name="Normal 2 5 8 2 2" xfId="8503" xr:uid="{00000000-0005-0000-0000-000073110000}"/>
    <cellStyle name="Normal 2 5 8 2 2 2" xfId="16950" xr:uid="{C9816F83-2FC9-4115-A1A5-4E823376AF17}"/>
    <cellStyle name="Normal 2 5 8 2 3" xfId="12735" xr:uid="{DF2BF152-961F-4E56-A996-653745EDC3E1}"/>
    <cellStyle name="Normal 2 5 8 3" xfId="6358" xr:uid="{00000000-0005-0000-0000-000074110000}"/>
    <cellStyle name="Normal 2 5 8 3 2" xfId="14805" xr:uid="{C6571C89-4E77-4DB2-95F4-6CC835B305AC}"/>
    <cellStyle name="Normal 2 5 8 4" xfId="10590" xr:uid="{06F76BCE-72D5-4A83-B69F-53E88797039C}"/>
    <cellStyle name="Normal 2 5 9" xfId="2488" xr:uid="{00000000-0005-0000-0000-000075110000}"/>
    <cellStyle name="Normal 2 5 9 2" xfId="6771" xr:uid="{00000000-0005-0000-0000-000076110000}"/>
    <cellStyle name="Normal 2 5 9 2 2" xfId="15218" xr:uid="{F0BFFDDA-582E-45BD-A766-FF2E56B1FAA3}"/>
    <cellStyle name="Normal 2 5 9 3" xfId="11003" xr:uid="{E8A9EE55-3DA1-4994-845C-2C480D9077C0}"/>
    <cellStyle name="Normal 2 6" xfId="322" xr:uid="{00000000-0005-0000-0000-000077110000}"/>
    <cellStyle name="Normal 2 7" xfId="769" xr:uid="{00000000-0005-0000-0000-000078110000}"/>
    <cellStyle name="Normal 2 8" xfId="4495" xr:uid="{00000000-0005-0000-0000-000079110000}"/>
    <cellStyle name="Normal 2 8 2" xfId="12947" xr:uid="{570C5A11-F972-407B-8DA7-E137B1BAE4FE}"/>
    <cellStyle name="Normal 3" xfId="323" xr:uid="{00000000-0005-0000-0000-00007A110000}"/>
    <cellStyle name="Normal 3 2" xfId="324" xr:uid="{00000000-0005-0000-0000-00007B110000}"/>
    <cellStyle name="Normal 3 2 10" xfId="8942" xr:uid="{7497ACD0-02BF-4C9D-97B4-0C0B5CDAEB7D}"/>
    <cellStyle name="Normal 3 2 2" xfId="325" xr:uid="{00000000-0005-0000-0000-00007C110000}"/>
    <cellStyle name="Normal 3 2 2 2" xfId="810" xr:uid="{00000000-0005-0000-0000-00007D110000}"/>
    <cellStyle name="Normal 3 2 3" xfId="326" xr:uid="{00000000-0005-0000-0000-00007E110000}"/>
    <cellStyle name="Normal 3 2 3 10" xfId="8943" xr:uid="{7D5C6A62-399E-4791-8996-A76B87D90AA1}"/>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19" xr:uid="{5E55CBE3-E19E-4A86-8712-82754D64EB32}"/>
    <cellStyle name="Normal 3 2 3 2 2 2 2 3" xfId="11504" xr:uid="{F9AADE47-961B-447C-8B04-2E9BF073F50E}"/>
    <cellStyle name="Normal 3 2 3 2 2 2 3" xfId="5127" xr:uid="{00000000-0005-0000-0000-000084110000}"/>
    <cellStyle name="Normal 3 2 3 2 2 2 3 2" xfId="13574" xr:uid="{345035D2-091E-4DD6-AD17-440168CA9E02}"/>
    <cellStyle name="Normal 3 2 3 2 2 2 4" xfId="9359" xr:uid="{D16D4D24-4E4D-4943-B45F-5BEA4E774458}"/>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2" xr:uid="{27C06DF4-657F-4111-88A1-D71A9CD9285B}"/>
    <cellStyle name="Normal 3 2 3 2 2 3 2 3" xfId="11917" xr:uid="{77004FD0-3558-4650-B949-74C6846C80F7}"/>
    <cellStyle name="Normal 3 2 3 2 2 3 3" xfId="5540" xr:uid="{00000000-0005-0000-0000-000088110000}"/>
    <cellStyle name="Normal 3 2 3 2 2 3 3 2" xfId="13987" xr:uid="{D7A35CDC-D69A-4455-B6CD-6283C1F37310}"/>
    <cellStyle name="Normal 3 2 3 2 2 3 4" xfId="9772" xr:uid="{F07FE384-FF7E-45B2-A345-08326218CD89}"/>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5" xr:uid="{D053569F-7675-4530-B76B-7C451A809FDA}"/>
    <cellStyle name="Normal 3 2 3 2 2 4 2 3" xfId="12330" xr:uid="{BB2ECA1C-4EDD-415B-B4D7-96EEB695A3ED}"/>
    <cellStyle name="Normal 3 2 3 2 2 4 3" xfId="5953" xr:uid="{00000000-0005-0000-0000-00008C110000}"/>
    <cellStyle name="Normal 3 2 3 2 2 4 3 2" xfId="14400" xr:uid="{E4C5023B-FA77-4186-A228-0CF99D64544A}"/>
    <cellStyle name="Normal 3 2 3 2 2 4 4" xfId="10185" xr:uid="{91159DC5-84AC-4A2B-BB50-9BCB4C634198}"/>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58" xr:uid="{73047B75-9403-49AF-8BF3-DBC556F12DB5}"/>
    <cellStyle name="Normal 3 2 3 2 2 5 2 3" xfId="12743" xr:uid="{CB70C3B0-1351-4C6C-AD53-CDD4FB012686}"/>
    <cellStyle name="Normal 3 2 3 2 2 5 3" xfId="6366" xr:uid="{00000000-0005-0000-0000-000090110000}"/>
    <cellStyle name="Normal 3 2 3 2 2 5 3 2" xfId="14813" xr:uid="{CEBACC65-8DF2-4879-B47F-3D1A89637402}"/>
    <cellStyle name="Normal 3 2 3 2 2 5 4" xfId="10598" xr:uid="{3E5C88ED-E086-4DCF-885E-89F045669152}"/>
    <cellStyle name="Normal 3 2 3 2 2 6" xfId="2496" xr:uid="{00000000-0005-0000-0000-000091110000}"/>
    <cellStyle name="Normal 3 2 3 2 2 6 2" xfId="6779" xr:uid="{00000000-0005-0000-0000-000092110000}"/>
    <cellStyle name="Normal 3 2 3 2 2 6 2 2" xfId="15226" xr:uid="{5971CF61-D7C5-40AB-8C5B-003D444486C7}"/>
    <cellStyle name="Normal 3 2 3 2 2 6 3" xfId="11011" xr:uid="{AD404BF3-04F2-49D8-9A59-DE0E93BA8153}"/>
    <cellStyle name="Normal 3 2 3 2 2 7" xfId="4713" xr:uid="{00000000-0005-0000-0000-000093110000}"/>
    <cellStyle name="Normal 3 2 3 2 2 7 2" xfId="13160" xr:uid="{B9410FD6-D879-46C0-A072-04E07F915028}"/>
    <cellStyle name="Normal 3 2 3 2 2 8" xfId="8945" xr:uid="{7416B586-DED6-40EB-8D1F-425A2C8E3A72}"/>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18" xr:uid="{AA186BDE-C6AD-4252-9B6F-4605B6A83015}"/>
    <cellStyle name="Normal 3 2 3 2 3 2 3" xfId="11503" xr:uid="{741F279D-1170-490A-BBFA-870ADF60AE7D}"/>
    <cellStyle name="Normal 3 2 3 2 3 3" xfId="5126" xr:uid="{00000000-0005-0000-0000-000097110000}"/>
    <cellStyle name="Normal 3 2 3 2 3 3 2" xfId="13573" xr:uid="{693A720A-00B6-4D47-B573-CAE5E15D19B4}"/>
    <cellStyle name="Normal 3 2 3 2 3 4" xfId="9358" xr:uid="{DCA93D88-6581-4DF1-BE4F-B70AF54150C4}"/>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1" xr:uid="{6423785D-DF0D-4DCB-91E3-020B0D522536}"/>
    <cellStyle name="Normal 3 2 3 2 4 2 3" xfId="11916" xr:uid="{269843E0-5610-47DE-9CEB-4D8215ACAB19}"/>
    <cellStyle name="Normal 3 2 3 2 4 3" xfId="5539" xr:uid="{00000000-0005-0000-0000-00009B110000}"/>
    <cellStyle name="Normal 3 2 3 2 4 3 2" xfId="13986" xr:uid="{190D28FF-F430-48D4-92A7-5EF4821BC037}"/>
    <cellStyle name="Normal 3 2 3 2 4 4" xfId="9771" xr:uid="{E1EF1DAE-9428-4821-8827-ADE4DC00BDF2}"/>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4" xr:uid="{AE56024D-B34C-4AF0-ABE7-B0B0DC55FFC1}"/>
    <cellStyle name="Normal 3 2 3 2 5 2 3" xfId="12329" xr:uid="{56B9413C-208F-42FD-B561-DBB629DA8FF4}"/>
    <cellStyle name="Normal 3 2 3 2 5 3" xfId="5952" xr:uid="{00000000-0005-0000-0000-00009F110000}"/>
    <cellStyle name="Normal 3 2 3 2 5 3 2" xfId="14399" xr:uid="{637236EC-2834-4337-AFC5-EC3953154105}"/>
    <cellStyle name="Normal 3 2 3 2 5 4" xfId="10184" xr:uid="{3A829BAA-8513-452C-8343-14CF51960A89}"/>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57" xr:uid="{B895AB89-3A6A-48A6-9688-E236F2E5368D}"/>
    <cellStyle name="Normal 3 2 3 2 6 2 3" xfId="12742" xr:uid="{347E8890-049D-488D-8F85-5742C75C0D18}"/>
    <cellStyle name="Normal 3 2 3 2 6 3" xfId="6365" xr:uid="{00000000-0005-0000-0000-0000A3110000}"/>
    <cellStyle name="Normal 3 2 3 2 6 3 2" xfId="14812" xr:uid="{C1F0FC9A-D26E-4C3B-A88D-AB0ADD04F73B}"/>
    <cellStyle name="Normal 3 2 3 2 6 4" xfId="10597" xr:uid="{F7DF0F11-317F-461F-8C6F-DB9754CF3E01}"/>
    <cellStyle name="Normal 3 2 3 2 7" xfId="2495" xr:uid="{00000000-0005-0000-0000-0000A4110000}"/>
    <cellStyle name="Normal 3 2 3 2 7 2" xfId="6778" xr:uid="{00000000-0005-0000-0000-0000A5110000}"/>
    <cellStyle name="Normal 3 2 3 2 7 2 2" xfId="15225" xr:uid="{96D4897A-A518-4E07-9677-4C2969513E34}"/>
    <cellStyle name="Normal 3 2 3 2 7 3" xfId="11010" xr:uid="{2A143140-FD92-4603-A3FF-0D55FE8EAA7E}"/>
    <cellStyle name="Normal 3 2 3 2 8" xfId="4712" xr:uid="{00000000-0005-0000-0000-0000A6110000}"/>
    <cellStyle name="Normal 3 2 3 2 8 2" xfId="13159" xr:uid="{74F38569-B0B1-4133-B52C-B2C88F499A50}"/>
    <cellStyle name="Normal 3 2 3 2 9" xfId="8944" xr:uid="{C18C3AFC-B8C2-48DD-8F7A-7C7C7B979D84}"/>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0" xr:uid="{5C2722B2-7D75-4B1A-B03F-99690EE9486C}"/>
    <cellStyle name="Normal 3 2 3 3 2 2 3" xfId="11505" xr:uid="{F8BCFE9A-0CF1-4903-B2F1-A25F83EB5F73}"/>
    <cellStyle name="Normal 3 2 3 3 2 3" xfId="5128" xr:uid="{00000000-0005-0000-0000-0000AB110000}"/>
    <cellStyle name="Normal 3 2 3 3 2 3 2" xfId="13575" xr:uid="{9A31838D-72FD-4C15-9DB3-3E0632ECC939}"/>
    <cellStyle name="Normal 3 2 3 3 2 4" xfId="9360" xr:uid="{2727DC43-EF13-4BEF-8B96-2F1E869EDD12}"/>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3" xr:uid="{A6ACA6F8-094A-46CF-95CB-A2B1CD59C948}"/>
    <cellStyle name="Normal 3 2 3 3 3 2 3" xfId="11918" xr:uid="{21184E24-A9D1-4651-9195-0F571D79317E}"/>
    <cellStyle name="Normal 3 2 3 3 3 3" xfId="5541" xr:uid="{00000000-0005-0000-0000-0000AF110000}"/>
    <cellStyle name="Normal 3 2 3 3 3 3 2" xfId="13988" xr:uid="{FEA4D5ED-6F7E-477C-8A52-A914D3D057CC}"/>
    <cellStyle name="Normal 3 2 3 3 3 4" xfId="9773" xr:uid="{8BA92804-0860-4C3D-9D6F-5CBF1B8A49C4}"/>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6" xr:uid="{DA8BC473-0766-4FB2-9F67-9C687D395231}"/>
    <cellStyle name="Normal 3 2 3 3 4 2 3" xfId="12331" xr:uid="{8582C5E4-697A-49AC-BB08-D65621DAF363}"/>
    <cellStyle name="Normal 3 2 3 3 4 3" xfId="5954" xr:uid="{00000000-0005-0000-0000-0000B3110000}"/>
    <cellStyle name="Normal 3 2 3 3 4 3 2" xfId="14401" xr:uid="{3629A16F-3FAC-4FA3-BA9A-044C8E3E2057}"/>
    <cellStyle name="Normal 3 2 3 3 4 4" xfId="10186" xr:uid="{CA5AE23F-E9F4-4D2B-980C-64334ACCEE16}"/>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59" xr:uid="{7C329858-143C-443B-AF72-F7800C0E90AA}"/>
    <cellStyle name="Normal 3 2 3 3 5 2 3" xfId="12744" xr:uid="{A345DF47-72ED-4FBF-8AA5-0C2DE15E9A25}"/>
    <cellStyle name="Normal 3 2 3 3 5 3" xfId="6367" xr:uid="{00000000-0005-0000-0000-0000B7110000}"/>
    <cellStyle name="Normal 3 2 3 3 5 3 2" xfId="14814" xr:uid="{F4970AEB-DD22-4BFF-BA49-FE25C15C6908}"/>
    <cellStyle name="Normal 3 2 3 3 5 4" xfId="10599" xr:uid="{F5D399B4-9089-4EE5-8219-1C0C78D24F23}"/>
    <cellStyle name="Normal 3 2 3 3 6" xfId="2497" xr:uid="{00000000-0005-0000-0000-0000B8110000}"/>
    <cellStyle name="Normal 3 2 3 3 6 2" xfId="6780" xr:uid="{00000000-0005-0000-0000-0000B9110000}"/>
    <cellStyle name="Normal 3 2 3 3 6 2 2" xfId="15227" xr:uid="{F5CBAD30-6D9E-411C-A70A-4597BCD89410}"/>
    <cellStyle name="Normal 3 2 3 3 6 3" xfId="11012" xr:uid="{D42864E1-CEC6-4309-B6D0-3A43A98FAB24}"/>
    <cellStyle name="Normal 3 2 3 3 7" xfId="4714" xr:uid="{00000000-0005-0000-0000-0000BA110000}"/>
    <cellStyle name="Normal 3 2 3 3 7 2" xfId="13161" xr:uid="{A411956C-1128-4E11-8D2B-9AC1AEEDB2E9}"/>
    <cellStyle name="Normal 3 2 3 3 8" xfId="8946" xr:uid="{6472AB63-9E8A-412B-BE26-38D5868D29AE}"/>
    <cellStyle name="Normal 3 2 3 4" xfId="811" xr:uid="{00000000-0005-0000-0000-0000BB110000}"/>
    <cellStyle name="Normal 3 2 3 4 2" xfId="3048" xr:uid="{00000000-0005-0000-0000-0000BC110000}"/>
    <cellStyle name="Normal 3 2 3 4 2 2" xfId="7270" xr:uid="{00000000-0005-0000-0000-0000BD110000}"/>
    <cellStyle name="Normal 3 2 3 4 2 2 2" xfId="15717" xr:uid="{62C84A48-5EF9-4F5B-BD83-1731DA940DD1}"/>
    <cellStyle name="Normal 3 2 3 4 2 3" xfId="11502" xr:uid="{F2767435-1678-47FF-B39B-52E52B055737}"/>
    <cellStyle name="Normal 3 2 3 4 3" xfId="5125" xr:uid="{00000000-0005-0000-0000-0000BE110000}"/>
    <cellStyle name="Normal 3 2 3 4 3 2" xfId="13572" xr:uid="{D7248820-CEF8-4266-81C0-6204283E9280}"/>
    <cellStyle name="Normal 3 2 3 4 4" xfId="9357" xr:uid="{AA75E667-1AC7-4AF1-BD18-3F636B8AAA78}"/>
    <cellStyle name="Normal 3 2 3 5" xfId="1231" xr:uid="{00000000-0005-0000-0000-0000BF110000}"/>
    <cellStyle name="Normal 3 2 3 5 2" xfId="3461" xr:uid="{00000000-0005-0000-0000-0000C0110000}"/>
    <cellStyle name="Normal 3 2 3 5 2 2" xfId="7683" xr:uid="{00000000-0005-0000-0000-0000C1110000}"/>
    <cellStyle name="Normal 3 2 3 5 2 2 2" xfId="16130" xr:uid="{21E582BC-B484-4E51-9F90-DCD20E6BAC92}"/>
    <cellStyle name="Normal 3 2 3 5 2 3" xfId="11915" xr:uid="{5FB9E947-772D-4906-B632-E9B6DB98E948}"/>
    <cellStyle name="Normal 3 2 3 5 3" xfId="5538" xr:uid="{00000000-0005-0000-0000-0000C2110000}"/>
    <cellStyle name="Normal 3 2 3 5 3 2" xfId="13985" xr:uid="{B2E7586A-DE55-41F6-95B6-0B076A73FC07}"/>
    <cellStyle name="Normal 3 2 3 5 4" xfId="9770" xr:uid="{D2712F96-F5BD-4D58-8C4A-24CCF1E79DB4}"/>
    <cellStyle name="Normal 3 2 3 6" xfId="1644" xr:uid="{00000000-0005-0000-0000-0000C3110000}"/>
    <cellStyle name="Normal 3 2 3 6 2" xfId="3874" xr:uid="{00000000-0005-0000-0000-0000C4110000}"/>
    <cellStyle name="Normal 3 2 3 6 2 2" xfId="8096" xr:uid="{00000000-0005-0000-0000-0000C5110000}"/>
    <cellStyle name="Normal 3 2 3 6 2 2 2" xfId="16543" xr:uid="{507714C9-E1E4-465E-AEA9-4836E04C4FD0}"/>
    <cellStyle name="Normal 3 2 3 6 2 3" xfId="12328" xr:uid="{BC7CD859-C5BC-4E61-8DD7-98C9F2A1EED7}"/>
    <cellStyle name="Normal 3 2 3 6 3" xfId="5951" xr:uid="{00000000-0005-0000-0000-0000C6110000}"/>
    <cellStyle name="Normal 3 2 3 6 3 2" xfId="14398" xr:uid="{C2990314-3D93-4658-B046-4619BC7EDE99}"/>
    <cellStyle name="Normal 3 2 3 6 4" xfId="10183" xr:uid="{F4F550F2-3944-44B7-AAD7-3484434518FD}"/>
    <cellStyle name="Normal 3 2 3 7" xfId="2058" xr:uid="{00000000-0005-0000-0000-0000C7110000}"/>
    <cellStyle name="Normal 3 2 3 7 2" xfId="4287" xr:uid="{00000000-0005-0000-0000-0000C8110000}"/>
    <cellStyle name="Normal 3 2 3 7 2 2" xfId="8509" xr:uid="{00000000-0005-0000-0000-0000C9110000}"/>
    <cellStyle name="Normal 3 2 3 7 2 2 2" xfId="16956" xr:uid="{1DE29261-1178-4F33-AA17-113170ECA79D}"/>
    <cellStyle name="Normal 3 2 3 7 2 3" xfId="12741" xr:uid="{046BB4CB-D8BE-4C2F-846E-4A4841661096}"/>
    <cellStyle name="Normal 3 2 3 7 3" xfId="6364" xr:uid="{00000000-0005-0000-0000-0000CA110000}"/>
    <cellStyle name="Normal 3 2 3 7 3 2" xfId="14811" xr:uid="{1930CB08-1123-49AD-AB7A-211A07721D8D}"/>
    <cellStyle name="Normal 3 2 3 7 4" xfId="10596" xr:uid="{F4CFE0ED-B6E1-4FFC-97BD-B5EA01B6DF92}"/>
    <cellStyle name="Normal 3 2 3 8" xfId="2494" xr:uid="{00000000-0005-0000-0000-0000CB110000}"/>
    <cellStyle name="Normal 3 2 3 8 2" xfId="6777" xr:uid="{00000000-0005-0000-0000-0000CC110000}"/>
    <cellStyle name="Normal 3 2 3 8 2 2" xfId="15224" xr:uid="{F9DC4BA4-6266-437E-A2C4-A817040A45FF}"/>
    <cellStyle name="Normal 3 2 3 8 3" xfId="11009" xr:uid="{0667A7AA-F9F9-4A8B-97B6-6B9040256BDB}"/>
    <cellStyle name="Normal 3 2 3 9" xfId="4711" xr:uid="{00000000-0005-0000-0000-0000CD110000}"/>
    <cellStyle name="Normal 3 2 3 9 2" xfId="13158" xr:uid="{7C0DDDFE-47C3-47BE-81C8-49727223F7A9}"/>
    <cellStyle name="Normal 3 2 4" xfId="809" xr:uid="{00000000-0005-0000-0000-0000CE110000}"/>
    <cellStyle name="Normal 3 2 4 2" xfId="3047" xr:uid="{00000000-0005-0000-0000-0000CF110000}"/>
    <cellStyle name="Normal 3 2 4 2 2" xfId="7269" xr:uid="{00000000-0005-0000-0000-0000D0110000}"/>
    <cellStyle name="Normal 3 2 4 2 2 2" xfId="15716" xr:uid="{154196D9-D5BF-4AB3-8DD9-2511E9007697}"/>
    <cellStyle name="Normal 3 2 4 2 3" xfId="11501" xr:uid="{F8A49751-4A2E-4F34-9E97-E444E427C566}"/>
    <cellStyle name="Normal 3 2 4 3" xfId="5124" xr:uid="{00000000-0005-0000-0000-0000D1110000}"/>
    <cellStyle name="Normal 3 2 4 3 2" xfId="13571" xr:uid="{EFE23AA4-2564-44F7-9D4E-E45B561D26EF}"/>
    <cellStyle name="Normal 3 2 4 4" xfId="9356" xr:uid="{4DB37848-44E8-43E0-AFAB-477BE2CC19A3}"/>
    <cellStyle name="Normal 3 2 5" xfId="1230" xr:uid="{00000000-0005-0000-0000-0000D2110000}"/>
    <cellStyle name="Normal 3 2 5 2" xfId="3460" xr:uid="{00000000-0005-0000-0000-0000D3110000}"/>
    <cellStyle name="Normal 3 2 5 2 2" xfId="7682" xr:uid="{00000000-0005-0000-0000-0000D4110000}"/>
    <cellStyle name="Normal 3 2 5 2 2 2" xfId="16129" xr:uid="{A261AFA6-3195-48B2-8291-245032AB07E3}"/>
    <cellStyle name="Normal 3 2 5 2 3" xfId="11914" xr:uid="{FD3FE4B4-6992-447A-815C-59EC14B7A046}"/>
    <cellStyle name="Normal 3 2 5 3" xfId="5537" xr:uid="{00000000-0005-0000-0000-0000D5110000}"/>
    <cellStyle name="Normal 3 2 5 3 2" xfId="13984" xr:uid="{62C977ED-DDFF-4982-8C08-BAB9808EE145}"/>
    <cellStyle name="Normal 3 2 5 4" xfId="9769" xr:uid="{A7C59EDE-8812-4E5F-A1C3-8F7F9CD30CED}"/>
    <cellStyle name="Normal 3 2 6" xfId="1643" xr:uid="{00000000-0005-0000-0000-0000D6110000}"/>
    <cellStyle name="Normal 3 2 6 2" xfId="3873" xr:uid="{00000000-0005-0000-0000-0000D7110000}"/>
    <cellStyle name="Normal 3 2 6 2 2" xfId="8095" xr:uid="{00000000-0005-0000-0000-0000D8110000}"/>
    <cellStyle name="Normal 3 2 6 2 2 2" xfId="16542" xr:uid="{59923420-10F1-44B5-8D37-682EEC95AE1B}"/>
    <cellStyle name="Normal 3 2 6 2 3" xfId="12327" xr:uid="{98FC35DF-49BE-46F7-B1BC-AE2424B3CDF1}"/>
    <cellStyle name="Normal 3 2 6 3" xfId="5950" xr:uid="{00000000-0005-0000-0000-0000D9110000}"/>
    <cellStyle name="Normal 3 2 6 3 2" xfId="14397" xr:uid="{A1E68C3F-387A-4FF5-94CE-77B0DC9DCC9B}"/>
    <cellStyle name="Normal 3 2 6 4" xfId="10182" xr:uid="{C79E423C-5CB9-422E-BFE4-07B3C4325EE9}"/>
    <cellStyle name="Normal 3 2 7" xfId="2057" xr:uid="{00000000-0005-0000-0000-0000DA110000}"/>
    <cellStyle name="Normal 3 2 7 2" xfId="4286" xr:uid="{00000000-0005-0000-0000-0000DB110000}"/>
    <cellStyle name="Normal 3 2 7 2 2" xfId="8508" xr:uid="{00000000-0005-0000-0000-0000DC110000}"/>
    <cellStyle name="Normal 3 2 7 2 2 2" xfId="16955" xr:uid="{ED87A961-DA58-4165-9D03-C14453BDAC18}"/>
    <cellStyle name="Normal 3 2 7 2 3" xfId="12740" xr:uid="{79E2A153-B756-4486-AE61-2504628945C0}"/>
    <cellStyle name="Normal 3 2 7 3" xfId="6363" xr:uid="{00000000-0005-0000-0000-0000DD110000}"/>
    <cellStyle name="Normal 3 2 7 3 2" xfId="14810" xr:uid="{522B5406-FBC2-4EC0-96E1-DBB613AB75BC}"/>
    <cellStyle name="Normal 3 2 7 4" xfId="10595" xr:uid="{C95BE8BB-8723-4293-A0D5-738C2824B714}"/>
    <cellStyle name="Normal 3 2 8" xfId="2493" xr:uid="{00000000-0005-0000-0000-0000DE110000}"/>
    <cellStyle name="Normal 3 2 8 2" xfId="6776" xr:uid="{00000000-0005-0000-0000-0000DF110000}"/>
    <cellStyle name="Normal 3 2 8 2 2" xfId="15223" xr:uid="{C39B9CFC-905F-44BC-95B1-863A408C5D05}"/>
    <cellStyle name="Normal 3 2 8 3" xfId="11008" xr:uid="{0B207E8E-0266-435E-89D5-FCEFFEA56BC7}"/>
    <cellStyle name="Normal 3 2 9" xfId="4710" xr:uid="{00000000-0005-0000-0000-0000E0110000}"/>
    <cellStyle name="Normal 3 2 9 2" xfId="13157" xr:uid="{E9E648DE-9A36-4938-9CA5-966F1E3D0AAC}"/>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96EE09B6-58DC-423E-882E-38F9161A93DA}"/>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0" xr:uid="{FD6967DB-EAF6-400D-A071-36675C86F9C0}"/>
    <cellStyle name="Normal 4 2 2 10 2 3" xfId="12745" xr:uid="{77CA7FA4-FAB5-42F0-A702-F21A599D67C1}"/>
    <cellStyle name="Normal 4 2 2 10 3" xfId="6368" xr:uid="{00000000-0005-0000-0000-0000ED110000}"/>
    <cellStyle name="Normal 4 2 2 10 3 2" xfId="14815" xr:uid="{CC7C8702-FDD3-4514-8B07-FFB24B2F5969}"/>
    <cellStyle name="Normal 4 2 2 10 4" xfId="10600" xr:uid="{FB5C38F0-F0B9-4FE7-9EEC-E026B7226873}"/>
    <cellStyle name="Normal 4 2 2 11" xfId="2498" xr:uid="{00000000-0005-0000-0000-0000EE110000}"/>
    <cellStyle name="Normal 4 2 2 11 2" xfId="6781" xr:uid="{00000000-0005-0000-0000-0000EF110000}"/>
    <cellStyle name="Normal 4 2 2 11 2 2" xfId="15228" xr:uid="{02C38746-1064-4FAA-985D-248B4C06734A}"/>
    <cellStyle name="Normal 4 2 2 11 3" xfId="11013" xr:uid="{3B7C15AF-2208-4E4A-A2B8-7BFEE43E955F}"/>
    <cellStyle name="Normal 4 2 2 12" xfId="4716" xr:uid="{00000000-0005-0000-0000-0000F0110000}"/>
    <cellStyle name="Normal 4 2 2 12 2" xfId="13163" xr:uid="{8B335B80-6B36-4371-8D2D-B516C71D6085}"/>
    <cellStyle name="Normal 4 2 2 13" xfId="8948" xr:uid="{F119093A-36CE-44A3-A42F-2DE9C5BE0ED6}"/>
    <cellStyle name="Normal 4 2 2 2" xfId="338" xr:uid="{00000000-0005-0000-0000-0000F1110000}"/>
    <cellStyle name="Normal 4 2 2 3" xfId="339" xr:uid="{00000000-0005-0000-0000-0000F2110000}"/>
    <cellStyle name="Normal 4 2 2 3 10" xfId="4717" xr:uid="{00000000-0005-0000-0000-0000F3110000}"/>
    <cellStyle name="Normal 4 2 2 3 10 2" xfId="13164" xr:uid="{388321C9-0654-4616-9FBB-2003FA363405}"/>
    <cellStyle name="Normal 4 2 2 3 11" xfId="8949" xr:uid="{68007D43-8436-40E3-8DE7-3851941675C2}"/>
    <cellStyle name="Normal 4 2 2 3 2" xfId="340" xr:uid="{00000000-0005-0000-0000-0000F4110000}"/>
    <cellStyle name="Normal 4 2 2 3 2 10" xfId="8950" xr:uid="{F4666CF8-8DBF-453E-896A-64478B53DD16}"/>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5" xr:uid="{ED4753B9-0E8A-4AE7-BBB0-500E76BFC2F9}"/>
    <cellStyle name="Normal 4 2 2 3 2 2 2 2 2 3" xfId="11510" xr:uid="{65BE85C8-0A4E-42A9-A75B-6E7FF350CC47}"/>
    <cellStyle name="Normal 4 2 2 3 2 2 2 2 3" xfId="5133" xr:uid="{00000000-0005-0000-0000-0000FA110000}"/>
    <cellStyle name="Normal 4 2 2 3 2 2 2 2 3 2" xfId="13580" xr:uid="{EDF76F73-D689-440E-AF40-149596DD5EC5}"/>
    <cellStyle name="Normal 4 2 2 3 2 2 2 2 4" xfId="9365" xr:uid="{5C270D96-877D-4881-94BF-1F4B74AD8738}"/>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38" xr:uid="{FDB9A373-885C-4B68-95A9-610A68143057}"/>
    <cellStyle name="Normal 4 2 2 3 2 2 2 3 2 3" xfId="11923" xr:uid="{FF658D79-0A5D-47C0-86CE-AF27C44D45AC}"/>
    <cellStyle name="Normal 4 2 2 3 2 2 2 3 3" xfId="5546" xr:uid="{00000000-0005-0000-0000-0000FE110000}"/>
    <cellStyle name="Normal 4 2 2 3 2 2 2 3 3 2" xfId="13993" xr:uid="{4F26ABF1-CB11-4712-AF32-AEDD4021859A}"/>
    <cellStyle name="Normal 4 2 2 3 2 2 2 3 4" xfId="9778" xr:uid="{57DD1D33-016F-420A-96F5-6EA8D110A3AA}"/>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1" xr:uid="{F23A47EB-C795-476D-B65B-0138C976003C}"/>
    <cellStyle name="Normal 4 2 2 3 2 2 2 4 2 3" xfId="12336" xr:uid="{77C5B3EB-8BA5-4BB9-9FB0-64FB29D7B3AE}"/>
    <cellStyle name="Normal 4 2 2 3 2 2 2 4 3" xfId="5959" xr:uid="{00000000-0005-0000-0000-000002120000}"/>
    <cellStyle name="Normal 4 2 2 3 2 2 2 4 3 2" xfId="14406" xr:uid="{A7D0A426-5AB5-4A41-AC6E-97574345A3FC}"/>
    <cellStyle name="Normal 4 2 2 3 2 2 2 4 4" xfId="10191" xr:uid="{7F11A598-65B0-4A08-9E3D-96A8ACC37983}"/>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4" xr:uid="{A5FF371A-B444-4249-B142-19AE088DCAB5}"/>
    <cellStyle name="Normal 4 2 2 3 2 2 2 5 2 3" xfId="12749" xr:uid="{54C53ADF-7A76-40A0-B092-55F9617B6749}"/>
    <cellStyle name="Normal 4 2 2 3 2 2 2 5 3" xfId="6372" xr:uid="{00000000-0005-0000-0000-000006120000}"/>
    <cellStyle name="Normal 4 2 2 3 2 2 2 5 3 2" xfId="14819" xr:uid="{8FD8FAB2-5356-47BC-9A9F-2E4E8FB41549}"/>
    <cellStyle name="Normal 4 2 2 3 2 2 2 5 4" xfId="10604" xr:uid="{D4FD80A4-A442-4030-A7FF-5653F27AC5E3}"/>
    <cellStyle name="Normal 4 2 2 3 2 2 2 6" xfId="2502" xr:uid="{00000000-0005-0000-0000-000007120000}"/>
    <cellStyle name="Normal 4 2 2 3 2 2 2 6 2" xfId="6785" xr:uid="{00000000-0005-0000-0000-000008120000}"/>
    <cellStyle name="Normal 4 2 2 3 2 2 2 6 2 2" xfId="15232" xr:uid="{89F78D04-0D88-4F08-8D63-03FAA2FEDC0E}"/>
    <cellStyle name="Normal 4 2 2 3 2 2 2 6 3" xfId="11017" xr:uid="{623A4955-0CAE-4D4E-BA19-DB439C3C89DB}"/>
    <cellStyle name="Normal 4 2 2 3 2 2 2 7" xfId="4720" xr:uid="{00000000-0005-0000-0000-000009120000}"/>
    <cellStyle name="Normal 4 2 2 3 2 2 2 7 2" xfId="13167" xr:uid="{EB1C4617-66C0-4046-9B67-4E70E959300A}"/>
    <cellStyle name="Normal 4 2 2 3 2 2 2 8" xfId="8952" xr:uid="{0253AF37-C4F2-4648-BAA0-25CF3AF36059}"/>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4" xr:uid="{CC9DCCDE-CD91-48BC-B29A-AD93445A72ED}"/>
    <cellStyle name="Normal 4 2 2 3 2 2 3 2 3" xfId="11509" xr:uid="{92508002-C7CB-4F5F-A525-2DB79A1F6CCB}"/>
    <cellStyle name="Normal 4 2 2 3 2 2 3 3" xfId="5132" xr:uid="{00000000-0005-0000-0000-00000D120000}"/>
    <cellStyle name="Normal 4 2 2 3 2 2 3 3 2" xfId="13579" xr:uid="{CBA7F546-A9ED-4700-8D6C-4292974B9406}"/>
    <cellStyle name="Normal 4 2 2 3 2 2 3 4" xfId="9364" xr:uid="{790E9D05-FD82-46A8-AC23-FB66D6599ED7}"/>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37" xr:uid="{7AAAA590-53EA-4797-909D-0BF4BD06C8F3}"/>
    <cellStyle name="Normal 4 2 2 3 2 2 4 2 3" xfId="11922" xr:uid="{B83B270C-C11E-4433-A25D-390B411B38BE}"/>
    <cellStyle name="Normal 4 2 2 3 2 2 4 3" xfId="5545" xr:uid="{00000000-0005-0000-0000-000011120000}"/>
    <cellStyle name="Normal 4 2 2 3 2 2 4 3 2" xfId="13992" xr:uid="{F1E932CB-EB27-4F3B-9C18-7F7D8F76784A}"/>
    <cellStyle name="Normal 4 2 2 3 2 2 4 4" xfId="9777" xr:uid="{6CF6C5EC-A3BC-4763-ACC5-562954D35DEE}"/>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0" xr:uid="{F09023D3-1F4F-4E27-91E2-D807617E72DD}"/>
    <cellStyle name="Normal 4 2 2 3 2 2 5 2 3" xfId="12335" xr:uid="{0241A77D-6424-4CD1-A765-1B4C972E6AAF}"/>
    <cellStyle name="Normal 4 2 2 3 2 2 5 3" xfId="5958" xr:uid="{00000000-0005-0000-0000-000015120000}"/>
    <cellStyle name="Normal 4 2 2 3 2 2 5 3 2" xfId="14405" xr:uid="{86EDF976-7849-460C-893F-7D1FF42DC31E}"/>
    <cellStyle name="Normal 4 2 2 3 2 2 5 4" xfId="10190" xr:uid="{F51988C6-F1AA-4CC8-9AC9-60C7D76059FA}"/>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3" xr:uid="{8BEA8245-3783-4D2F-AB76-B0AA9C3B4B0C}"/>
    <cellStyle name="Normal 4 2 2 3 2 2 6 2 3" xfId="12748" xr:uid="{1C40B596-4336-447D-930E-4B529EB4AC5C}"/>
    <cellStyle name="Normal 4 2 2 3 2 2 6 3" xfId="6371" xr:uid="{00000000-0005-0000-0000-000019120000}"/>
    <cellStyle name="Normal 4 2 2 3 2 2 6 3 2" xfId="14818" xr:uid="{D78527E5-AAD3-4112-894F-7F4758360F9F}"/>
    <cellStyle name="Normal 4 2 2 3 2 2 6 4" xfId="10603" xr:uid="{330068D3-50F9-43D2-85AB-F57CD75E120B}"/>
    <cellStyle name="Normal 4 2 2 3 2 2 7" xfId="2501" xr:uid="{00000000-0005-0000-0000-00001A120000}"/>
    <cellStyle name="Normal 4 2 2 3 2 2 7 2" xfId="6784" xr:uid="{00000000-0005-0000-0000-00001B120000}"/>
    <cellStyle name="Normal 4 2 2 3 2 2 7 2 2" xfId="15231" xr:uid="{F490FDBE-544B-442C-B68B-218DA258EEF8}"/>
    <cellStyle name="Normal 4 2 2 3 2 2 7 3" xfId="11016" xr:uid="{B5978570-F631-4691-A165-A6BFC80379D7}"/>
    <cellStyle name="Normal 4 2 2 3 2 2 8" xfId="4719" xr:uid="{00000000-0005-0000-0000-00001C120000}"/>
    <cellStyle name="Normal 4 2 2 3 2 2 8 2" xfId="13166" xr:uid="{46701B41-60BE-4E9A-ABA8-9399F2A2C78F}"/>
    <cellStyle name="Normal 4 2 2 3 2 2 9" xfId="8951" xr:uid="{E1E925D2-D5CB-40BE-8D45-7F4EA63E3BDC}"/>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6" xr:uid="{D4BB8794-53E6-48D5-9813-E5393388BA9F}"/>
    <cellStyle name="Normal 4 2 2 3 2 3 2 2 3" xfId="11511" xr:uid="{60FF56C6-1879-4FAE-A423-D056E167A57E}"/>
    <cellStyle name="Normal 4 2 2 3 2 3 2 3" xfId="5134" xr:uid="{00000000-0005-0000-0000-000021120000}"/>
    <cellStyle name="Normal 4 2 2 3 2 3 2 3 2" xfId="13581" xr:uid="{DE9D5D2E-14D3-4E95-9234-7B9D4C256B2A}"/>
    <cellStyle name="Normal 4 2 2 3 2 3 2 4" xfId="9366" xr:uid="{92E36CBA-101A-4361-8BC3-00FFEBE6F5EB}"/>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39" xr:uid="{28F6E5A3-4FFD-4EA1-9803-1442B5467733}"/>
    <cellStyle name="Normal 4 2 2 3 2 3 3 2 3" xfId="11924" xr:uid="{4DB8B606-01D3-4733-9411-A0BF2902D9C6}"/>
    <cellStyle name="Normal 4 2 2 3 2 3 3 3" xfId="5547" xr:uid="{00000000-0005-0000-0000-000025120000}"/>
    <cellStyle name="Normal 4 2 2 3 2 3 3 3 2" xfId="13994" xr:uid="{BE8665FE-5045-44A7-A369-FA156FA3C50D}"/>
    <cellStyle name="Normal 4 2 2 3 2 3 3 4" xfId="9779" xr:uid="{04FA86B3-2B69-43C6-964E-D88AE180B823}"/>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2" xr:uid="{B18C92D9-C319-4412-9C2B-D94134DE126A}"/>
    <cellStyle name="Normal 4 2 2 3 2 3 4 2 3" xfId="12337" xr:uid="{74AAFC28-4822-41F9-AD87-126F5FFCD4FE}"/>
    <cellStyle name="Normal 4 2 2 3 2 3 4 3" xfId="5960" xr:uid="{00000000-0005-0000-0000-000029120000}"/>
    <cellStyle name="Normal 4 2 2 3 2 3 4 3 2" xfId="14407" xr:uid="{183EE775-A704-4530-8A19-74AC1BAEB2E5}"/>
    <cellStyle name="Normal 4 2 2 3 2 3 4 4" xfId="10192" xr:uid="{EA9CC9BC-0A28-432E-915B-67E4DEAA8294}"/>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5" xr:uid="{E4D39250-F3AA-423D-BECB-EC9EEF5C3A6C}"/>
    <cellStyle name="Normal 4 2 2 3 2 3 5 2 3" xfId="12750" xr:uid="{17CFB09E-F021-47A2-8DBA-BE9453B7031E}"/>
    <cellStyle name="Normal 4 2 2 3 2 3 5 3" xfId="6373" xr:uid="{00000000-0005-0000-0000-00002D120000}"/>
    <cellStyle name="Normal 4 2 2 3 2 3 5 3 2" xfId="14820" xr:uid="{40749913-04E4-42F9-94C0-3FB514AC79A5}"/>
    <cellStyle name="Normal 4 2 2 3 2 3 5 4" xfId="10605" xr:uid="{50A4224B-893A-45BC-B4B6-12CCA224043D}"/>
    <cellStyle name="Normal 4 2 2 3 2 3 6" xfId="2503" xr:uid="{00000000-0005-0000-0000-00002E120000}"/>
    <cellStyle name="Normal 4 2 2 3 2 3 6 2" xfId="6786" xr:uid="{00000000-0005-0000-0000-00002F120000}"/>
    <cellStyle name="Normal 4 2 2 3 2 3 6 2 2" xfId="15233" xr:uid="{EC6D4740-E04D-40C4-9701-DB4515A0C0DE}"/>
    <cellStyle name="Normal 4 2 2 3 2 3 6 3" xfId="11018" xr:uid="{A9B9348C-4F1C-400C-A5E2-A239EF2BEC81}"/>
    <cellStyle name="Normal 4 2 2 3 2 3 7" xfId="4721" xr:uid="{00000000-0005-0000-0000-000030120000}"/>
    <cellStyle name="Normal 4 2 2 3 2 3 7 2" xfId="13168" xr:uid="{1D2D3FB1-C05B-41A9-8948-986A839966E4}"/>
    <cellStyle name="Normal 4 2 2 3 2 3 8" xfId="8953" xr:uid="{49E499FF-3258-45BE-9A35-FBC7B64A3AA6}"/>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3" xr:uid="{3855E08E-D2E6-4A69-993D-2956255ACAB8}"/>
    <cellStyle name="Normal 4 2 2 3 2 4 2 3" xfId="11508" xr:uid="{D267CC52-FEA3-4E78-96D6-0F639DB308B2}"/>
    <cellStyle name="Normal 4 2 2 3 2 4 3" xfId="5131" xr:uid="{00000000-0005-0000-0000-000034120000}"/>
    <cellStyle name="Normal 4 2 2 3 2 4 3 2" xfId="13578" xr:uid="{01E9C31B-BFD4-4EBE-9B4A-05635AF7D131}"/>
    <cellStyle name="Normal 4 2 2 3 2 4 4" xfId="9363" xr:uid="{B030DA5A-DF4A-476B-ABE9-9AF0B1AE4777}"/>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6" xr:uid="{BB21377F-9A08-49B4-95D1-53F65553AFEA}"/>
    <cellStyle name="Normal 4 2 2 3 2 5 2 3" xfId="11921" xr:uid="{E0762C94-6578-46F4-A2F0-C95A67DE757F}"/>
    <cellStyle name="Normal 4 2 2 3 2 5 3" xfId="5544" xr:uid="{00000000-0005-0000-0000-000038120000}"/>
    <cellStyle name="Normal 4 2 2 3 2 5 3 2" xfId="13991" xr:uid="{8688E92F-F394-4E49-BD00-74D9B0F36F8E}"/>
    <cellStyle name="Normal 4 2 2 3 2 5 4" xfId="9776" xr:uid="{B2FCF13D-C514-426D-AC8A-805A94C15879}"/>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49" xr:uid="{4FB3BD1B-788C-4355-859A-2F4787702E55}"/>
    <cellStyle name="Normal 4 2 2 3 2 6 2 3" xfId="12334" xr:uid="{930E5865-2A96-4841-B873-4AD52A785FF3}"/>
    <cellStyle name="Normal 4 2 2 3 2 6 3" xfId="5957" xr:uid="{00000000-0005-0000-0000-00003C120000}"/>
    <cellStyle name="Normal 4 2 2 3 2 6 3 2" xfId="14404" xr:uid="{02FBEC05-F853-4CD2-9F67-EF7D52EC021A}"/>
    <cellStyle name="Normal 4 2 2 3 2 6 4" xfId="10189" xr:uid="{190346F3-8680-43B8-B8E0-2CD2D8749ACF}"/>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2" xr:uid="{CBC4A558-6600-4C62-9D43-78EB5833226E}"/>
    <cellStyle name="Normal 4 2 2 3 2 7 2 3" xfId="12747" xr:uid="{6663E061-04BF-4AA6-962F-1647EB60EFB7}"/>
    <cellStyle name="Normal 4 2 2 3 2 7 3" xfId="6370" xr:uid="{00000000-0005-0000-0000-000040120000}"/>
    <cellStyle name="Normal 4 2 2 3 2 7 3 2" xfId="14817" xr:uid="{46BD8BE2-E6A9-4026-876A-FAEFC85C7342}"/>
    <cellStyle name="Normal 4 2 2 3 2 7 4" xfId="10602" xr:uid="{9842E769-7C50-4378-9160-28050BB9F906}"/>
    <cellStyle name="Normal 4 2 2 3 2 8" xfId="2500" xr:uid="{00000000-0005-0000-0000-000041120000}"/>
    <cellStyle name="Normal 4 2 2 3 2 8 2" xfId="6783" xr:uid="{00000000-0005-0000-0000-000042120000}"/>
    <cellStyle name="Normal 4 2 2 3 2 8 2 2" xfId="15230" xr:uid="{55A57A96-3561-4531-B7D0-845392CBD9EF}"/>
    <cellStyle name="Normal 4 2 2 3 2 8 3" xfId="11015" xr:uid="{BC9C3B8E-2EC8-466F-979B-7540D238F7C3}"/>
    <cellStyle name="Normal 4 2 2 3 2 9" xfId="4718" xr:uid="{00000000-0005-0000-0000-000043120000}"/>
    <cellStyle name="Normal 4 2 2 3 2 9 2" xfId="13165" xr:uid="{1CEADF78-D7BC-4082-8FC7-B7A93C24B40F}"/>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28" xr:uid="{3318B2E2-CCBC-4AD9-BCA9-54C6670DF5EE}"/>
    <cellStyle name="Normal 4 2 2 3 3 2 2 2 3" xfId="11513" xr:uid="{2A280855-6A61-4BCD-8D64-3D50203F794A}"/>
    <cellStyle name="Normal 4 2 2 3 3 2 2 3" xfId="5136" xr:uid="{00000000-0005-0000-0000-000049120000}"/>
    <cellStyle name="Normal 4 2 2 3 3 2 2 3 2" xfId="13583" xr:uid="{C611790C-D060-486B-9AE3-8C7AC44BCEC6}"/>
    <cellStyle name="Normal 4 2 2 3 3 2 2 4" xfId="9368" xr:uid="{6444F966-DADE-4C91-A80A-2D616BFF14BA}"/>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1" xr:uid="{6E68D981-7203-468B-8024-0C68F1D5B94D}"/>
    <cellStyle name="Normal 4 2 2 3 3 2 3 2 3" xfId="11926" xr:uid="{8B9D9496-47F7-4DC8-ACE4-1C132AE27F0B}"/>
    <cellStyle name="Normal 4 2 2 3 3 2 3 3" xfId="5549" xr:uid="{00000000-0005-0000-0000-00004D120000}"/>
    <cellStyle name="Normal 4 2 2 3 3 2 3 3 2" xfId="13996" xr:uid="{A71581B6-412A-45EE-ADF0-843A716A963B}"/>
    <cellStyle name="Normal 4 2 2 3 3 2 3 4" xfId="9781" xr:uid="{34D5C897-BDB8-4615-8BAB-FA06AD5C5C86}"/>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4" xr:uid="{70E5582A-A404-4197-9F47-F71DFE4D134D}"/>
    <cellStyle name="Normal 4 2 2 3 3 2 4 2 3" xfId="12339" xr:uid="{F8757232-3FF3-44F6-B3AA-5F3D1F323335}"/>
    <cellStyle name="Normal 4 2 2 3 3 2 4 3" xfId="5962" xr:uid="{00000000-0005-0000-0000-000051120000}"/>
    <cellStyle name="Normal 4 2 2 3 3 2 4 3 2" xfId="14409" xr:uid="{713FD15A-477D-4633-A732-F8F959013A7B}"/>
    <cellStyle name="Normal 4 2 2 3 3 2 4 4" xfId="10194" xr:uid="{96D0F954-2086-453B-8959-F2C4F8730071}"/>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67" xr:uid="{D2AA37C9-2CA2-4AA6-9D9E-AB368612B55E}"/>
    <cellStyle name="Normal 4 2 2 3 3 2 5 2 3" xfId="12752" xr:uid="{3A629C66-3111-4B36-B4B8-98052CDB5C00}"/>
    <cellStyle name="Normal 4 2 2 3 3 2 5 3" xfId="6375" xr:uid="{00000000-0005-0000-0000-000055120000}"/>
    <cellStyle name="Normal 4 2 2 3 3 2 5 3 2" xfId="14822" xr:uid="{AD724BEB-0961-4B13-817F-6A3E5C770403}"/>
    <cellStyle name="Normal 4 2 2 3 3 2 5 4" xfId="10607" xr:uid="{5675604A-F676-4E03-8200-FE7BF6ADC5D3}"/>
    <cellStyle name="Normal 4 2 2 3 3 2 6" xfId="2505" xr:uid="{00000000-0005-0000-0000-000056120000}"/>
    <cellStyle name="Normal 4 2 2 3 3 2 6 2" xfId="6788" xr:uid="{00000000-0005-0000-0000-000057120000}"/>
    <cellStyle name="Normal 4 2 2 3 3 2 6 2 2" xfId="15235" xr:uid="{CA6D8717-26F3-4A6F-804A-C8514F2A8A9B}"/>
    <cellStyle name="Normal 4 2 2 3 3 2 6 3" xfId="11020" xr:uid="{ECD3D028-68C3-46E8-93E8-323ACC7F54B7}"/>
    <cellStyle name="Normal 4 2 2 3 3 2 7" xfId="4723" xr:uid="{00000000-0005-0000-0000-000058120000}"/>
    <cellStyle name="Normal 4 2 2 3 3 2 7 2" xfId="13170" xr:uid="{F08BE3D0-5BA2-4D49-A768-7990E067FCC8}"/>
    <cellStyle name="Normal 4 2 2 3 3 2 8" xfId="8955" xr:uid="{B4441636-D74C-4933-87AA-D7EBEB6096F7}"/>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27" xr:uid="{B1657C30-46AC-4AF5-8EC1-274D963520B4}"/>
    <cellStyle name="Normal 4 2 2 3 3 3 2 3" xfId="11512" xr:uid="{9D6BDD2B-AE91-496B-88AD-F2C2497AD1E6}"/>
    <cellStyle name="Normal 4 2 2 3 3 3 3" xfId="5135" xr:uid="{00000000-0005-0000-0000-00005C120000}"/>
    <cellStyle name="Normal 4 2 2 3 3 3 3 2" xfId="13582" xr:uid="{B78F8608-9061-4B52-AD99-602A0E8E4CA3}"/>
    <cellStyle name="Normal 4 2 2 3 3 3 4" xfId="9367" xr:uid="{3F362361-AD4D-48AB-A7C6-FEAF93ED5D82}"/>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0" xr:uid="{285D1B95-3DFA-45F5-9B09-6EC861822C17}"/>
    <cellStyle name="Normal 4 2 2 3 3 4 2 3" xfId="11925" xr:uid="{1141CF94-A903-4380-870E-A1FCFDCEB420}"/>
    <cellStyle name="Normal 4 2 2 3 3 4 3" xfId="5548" xr:uid="{00000000-0005-0000-0000-000060120000}"/>
    <cellStyle name="Normal 4 2 2 3 3 4 3 2" xfId="13995" xr:uid="{AF185589-5F5E-4E42-BA3C-A1FECB15882B}"/>
    <cellStyle name="Normal 4 2 2 3 3 4 4" xfId="9780" xr:uid="{26443533-C8D9-4950-BFEE-F04E156AF2A5}"/>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3" xr:uid="{7B475F8A-67B1-48DB-862B-C1B738BD4DA0}"/>
    <cellStyle name="Normal 4 2 2 3 3 5 2 3" xfId="12338" xr:uid="{884C725E-C81A-4891-95BD-2474F44B1B6E}"/>
    <cellStyle name="Normal 4 2 2 3 3 5 3" xfId="5961" xr:uid="{00000000-0005-0000-0000-000064120000}"/>
    <cellStyle name="Normal 4 2 2 3 3 5 3 2" xfId="14408" xr:uid="{7EBDFE7D-0AAA-41E0-985A-C1D295DA9150}"/>
    <cellStyle name="Normal 4 2 2 3 3 5 4" xfId="10193" xr:uid="{043DAF29-A8DC-449B-8BD5-0610D40F7921}"/>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6" xr:uid="{C693A405-7982-4147-A2C3-C50AFE73BB76}"/>
    <cellStyle name="Normal 4 2 2 3 3 6 2 3" xfId="12751" xr:uid="{B8D36C48-D608-4A6A-A290-928D983A3113}"/>
    <cellStyle name="Normal 4 2 2 3 3 6 3" xfId="6374" xr:uid="{00000000-0005-0000-0000-000068120000}"/>
    <cellStyle name="Normal 4 2 2 3 3 6 3 2" xfId="14821" xr:uid="{A60F45B1-3843-4304-B69D-534DE46CC10E}"/>
    <cellStyle name="Normal 4 2 2 3 3 6 4" xfId="10606" xr:uid="{F4DB585B-A58E-4A75-AA36-D8DA82EB8029}"/>
    <cellStyle name="Normal 4 2 2 3 3 7" xfId="2504" xr:uid="{00000000-0005-0000-0000-000069120000}"/>
    <cellStyle name="Normal 4 2 2 3 3 7 2" xfId="6787" xr:uid="{00000000-0005-0000-0000-00006A120000}"/>
    <cellStyle name="Normal 4 2 2 3 3 7 2 2" xfId="15234" xr:uid="{DB69DFDF-C04D-4321-8722-75734E6C566A}"/>
    <cellStyle name="Normal 4 2 2 3 3 7 3" xfId="11019" xr:uid="{A2CF38CC-FCF7-42C3-9F1A-F90AC866B4D2}"/>
    <cellStyle name="Normal 4 2 2 3 3 8" xfId="4722" xr:uid="{00000000-0005-0000-0000-00006B120000}"/>
    <cellStyle name="Normal 4 2 2 3 3 8 2" xfId="13169" xr:uid="{76426E45-889B-44ED-82C8-4DF84B323C0B}"/>
    <cellStyle name="Normal 4 2 2 3 3 9" xfId="8954" xr:uid="{4EBDB695-8180-4A7A-8586-06B04153A6B6}"/>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29" xr:uid="{31B6277B-05D1-4486-A7C5-F65B9D371611}"/>
    <cellStyle name="Normal 4 2 2 3 4 2 2 3" xfId="11514" xr:uid="{D8EDD563-7441-4D69-9C2C-037C56C83739}"/>
    <cellStyle name="Normal 4 2 2 3 4 2 3" xfId="5137" xr:uid="{00000000-0005-0000-0000-000070120000}"/>
    <cellStyle name="Normal 4 2 2 3 4 2 3 2" xfId="13584" xr:uid="{2A302D9E-3717-48CA-B674-38248F54FD89}"/>
    <cellStyle name="Normal 4 2 2 3 4 2 4" xfId="9369" xr:uid="{CF1D67B6-D9BE-4781-B72B-0C436F04742E}"/>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2" xr:uid="{10DAD7CE-7F59-4BA3-8FCD-C4A755293469}"/>
    <cellStyle name="Normal 4 2 2 3 4 3 2 3" xfId="11927" xr:uid="{924FD017-8146-4C46-8C44-674835FA7C15}"/>
    <cellStyle name="Normal 4 2 2 3 4 3 3" xfId="5550" xr:uid="{00000000-0005-0000-0000-000074120000}"/>
    <cellStyle name="Normal 4 2 2 3 4 3 3 2" xfId="13997" xr:uid="{E37C14F2-742F-434C-9D3C-ECAD440CEB70}"/>
    <cellStyle name="Normal 4 2 2 3 4 3 4" xfId="9782" xr:uid="{40708133-7CD2-45CE-84A3-44486B4A8AFC}"/>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5" xr:uid="{F7D97B78-0038-47B7-9B8C-DDE1553C118F}"/>
    <cellStyle name="Normal 4 2 2 3 4 4 2 3" xfId="12340" xr:uid="{7B2B6E72-4CAF-4FB4-AEC8-2C7A005AD2BF}"/>
    <cellStyle name="Normal 4 2 2 3 4 4 3" xfId="5963" xr:uid="{00000000-0005-0000-0000-000078120000}"/>
    <cellStyle name="Normal 4 2 2 3 4 4 3 2" xfId="14410" xr:uid="{F5F606D5-B3F9-47DA-BE24-AA26E6DFACAA}"/>
    <cellStyle name="Normal 4 2 2 3 4 4 4" xfId="10195" xr:uid="{DD9DAC9B-9227-4E2C-B8F5-438CD12230D7}"/>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68" xr:uid="{E9FC793B-E956-4AB0-BA2F-48163E57A621}"/>
    <cellStyle name="Normal 4 2 2 3 4 5 2 3" xfId="12753" xr:uid="{D6D7AF32-3BF1-412B-975D-217332328B20}"/>
    <cellStyle name="Normal 4 2 2 3 4 5 3" xfId="6376" xr:uid="{00000000-0005-0000-0000-00007C120000}"/>
    <cellStyle name="Normal 4 2 2 3 4 5 3 2" xfId="14823" xr:uid="{B26B40D9-1029-4AFF-A249-038181967A0B}"/>
    <cellStyle name="Normal 4 2 2 3 4 5 4" xfId="10608" xr:uid="{8CB0B9A3-8DEB-4BAD-B337-68E8B84F6C0B}"/>
    <cellStyle name="Normal 4 2 2 3 4 6" xfId="2506" xr:uid="{00000000-0005-0000-0000-00007D120000}"/>
    <cellStyle name="Normal 4 2 2 3 4 6 2" xfId="6789" xr:uid="{00000000-0005-0000-0000-00007E120000}"/>
    <cellStyle name="Normal 4 2 2 3 4 6 2 2" xfId="15236" xr:uid="{E90A7831-5CD0-4282-A928-BAF83369B40D}"/>
    <cellStyle name="Normal 4 2 2 3 4 6 3" xfId="11021" xr:uid="{8A65E9C4-320A-4708-A0D1-4DEFE8D5B2CC}"/>
    <cellStyle name="Normal 4 2 2 3 4 7" xfId="4724" xr:uid="{00000000-0005-0000-0000-00007F120000}"/>
    <cellStyle name="Normal 4 2 2 3 4 7 2" xfId="13171" xr:uid="{5F446597-8436-42BA-87D5-C88DF85BF920}"/>
    <cellStyle name="Normal 4 2 2 3 4 8" xfId="8956" xr:uid="{A3F18D67-83E2-4B01-8042-7F5EAC360ADE}"/>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2" xr:uid="{892019ED-CAF9-4966-89D6-6E3769A26A0A}"/>
    <cellStyle name="Normal 4 2 2 3 5 2 3" xfId="11507" xr:uid="{83DC615E-C0CD-443B-81EF-A4C159485D89}"/>
    <cellStyle name="Normal 4 2 2 3 5 3" xfId="5130" xr:uid="{00000000-0005-0000-0000-000083120000}"/>
    <cellStyle name="Normal 4 2 2 3 5 3 2" xfId="13577" xr:uid="{08B19706-8715-4992-A2E8-C505F8C9B8E4}"/>
    <cellStyle name="Normal 4 2 2 3 5 4" xfId="9362" xr:uid="{AC154F50-A452-4F8B-9E9D-9430F603F36B}"/>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5" xr:uid="{E73C4E2C-C262-4D3D-8A28-F1A3472208EC}"/>
    <cellStyle name="Normal 4 2 2 3 6 2 3" xfId="11920" xr:uid="{1261CA8E-9CE8-47D4-A869-59A751317404}"/>
    <cellStyle name="Normal 4 2 2 3 6 3" xfId="5543" xr:uid="{00000000-0005-0000-0000-000087120000}"/>
    <cellStyle name="Normal 4 2 2 3 6 3 2" xfId="13990" xr:uid="{51CE59FC-B592-4EF8-88C3-2227906CDC36}"/>
    <cellStyle name="Normal 4 2 2 3 6 4" xfId="9775" xr:uid="{721818B4-8F9F-4E3C-84F2-67E2F3343587}"/>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48" xr:uid="{B7DBF76B-CDFB-4683-8FD4-7AC91DBB46FE}"/>
    <cellStyle name="Normal 4 2 2 3 7 2 3" xfId="12333" xr:uid="{32D3E061-22B5-4C71-A40D-1AA26B302741}"/>
    <cellStyle name="Normal 4 2 2 3 7 3" xfId="5956" xr:uid="{00000000-0005-0000-0000-00008B120000}"/>
    <cellStyle name="Normal 4 2 2 3 7 3 2" xfId="14403" xr:uid="{6C78C403-DBE7-4D54-9B5E-141A07BA1AE8}"/>
    <cellStyle name="Normal 4 2 2 3 7 4" xfId="10188" xr:uid="{507A8DCB-6EA4-45B7-BE5D-1171C6D93021}"/>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1" xr:uid="{61FC1FC9-65AA-4C8A-B477-4EC4CE54D3D5}"/>
    <cellStyle name="Normal 4 2 2 3 8 2 3" xfId="12746" xr:uid="{FE2B1782-5730-400D-ACD8-A36A20298CDA}"/>
    <cellStyle name="Normal 4 2 2 3 8 3" xfId="6369" xr:uid="{00000000-0005-0000-0000-00008F120000}"/>
    <cellStyle name="Normal 4 2 2 3 8 3 2" xfId="14816" xr:uid="{8D5B7280-4573-4B4F-A18D-812DE32C3A62}"/>
    <cellStyle name="Normal 4 2 2 3 8 4" xfId="10601" xr:uid="{54921747-0EB5-4E9B-ACDD-BE6BE2F87BE3}"/>
    <cellStyle name="Normal 4 2 2 3 9" xfId="2499" xr:uid="{00000000-0005-0000-0000-000090120000}"/>
    <cellStyle name="Normal 4 2 2 3 9 2" xfId="6782" xr:uid="{00000000-0005-0000-0000-000091120000}"/>
    <cellStyle name="Normal 4 2 2 3 9 2 2" xfId="15229" xr:uid="{3D71BDBC-49E4-425A-A9CC-038EC9A108EF}"/>
    <cellStyle name="Normal 4 2 2 3 9 3" xfId="11014" xr:uid="{451C762C-400A-447B-9F7F-347C443FC179}"/>
    <cellStyle name="Normal 4 2 2 4" xfId="347" xr:uid="{00000000-0005-0000-0000-000092120000}"/>
    <cellStyle name="Normal 4 2 2 4 10" xfId="8957" xr:uid="{D5E4F1FB-396E-4BF5-86F6-44B2A7514234}"/>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2" xr:uid="{16D96AB1-2769-4EB1-987A-11AAE15DE5BD}"/>
    <cellStyle name="Normal 4 2 2 4 2 2 2 2 3" xfId="11517" xr:uid="{EDDAA4E2-0F43-41A0-9099-FAFF5E2E54EE}"/>
    <cellStyle name="Normal 4 2 2 4 2 2 2 3" xfId="5140" xr:uid="{00000000-0005-0000-0000-000098120000}"/>
    <cellStyle name="Normal 4 2 2 4 2 2 2 3 2" xfId="13587" xr:uid="{67EE88A8-3464-4C79-BD80-2F27AF5639A2}"/>
    <cellStyle name="Normal 4 2 2 4 2 2 2 4" xfId="9372" xr:uid="{017FA39E-8A90-41FA-BCD3-B5D23F49FBD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5" xr:uid="{C03E8E13-0637-4A28-BF3F-C0AF252C2AEC}"/>
    <cellStyle name="Normal 4 2 2 4 2 2 3 2 3" xfId="11930" xr:uid="{6B8F34E5-DDAD-4792-ACF1-8FF5A0F2340D}"/>
    <cellStyle name="Normal 4 2 2 4 2 2 3 3" xfId="5553" xr:uid="{00000000-0005-0000-0000-00009C120000}"/>
    <cellStyle name="Normal 4 2 2 4 2 2 3 3 2" xfId="14000" xr:uid="{60014D4B-F1D7-460C-9EC3-F0EBA02967B0}"/>
    <cellStyle name="Normal 4 2 2 4 2 2 3 4" xfId="9785" xr:uid="{9C978F6C-18D0-4D09-A4A2-7E2AF0378383}"/>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58" xr:uid="{747220D7-25F3-4BD8-BD6A-D9106EDE0BEE}"/>
    <cellStyle name="Normal 4 2 2 4 2 2 4 2 3" xfId="12343" xr:uid="{70E37CC4-BB2F-4C3A-ABB0-AAB013D7E060}"/>
    <cellStyle name="Normal 4 2 2 4 2 2 4 3" xfId="5966" xr:uid="{00000000-0005-0000-0000-0000A0120000}"/>
    <cellStyle name="Normal 4 2 2 4 2 2 4 3 2" xfId="14413" xr:uid="{42689221-6F48-44E8-9E52-444153E46D21}"/>
    <cellStyle name="Normal 4 2 2 4 2 2 4 4" xfId="10198" xr:uid="{CDC34A1E-2160-45BB-BACA-22787283BEBF}"/>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1" xr:uid="{2AE0ADC2-6032-48A1-9C9B-A5081A6042EC}"/>
    <cellStyle name="Normal 4 2 2 4 2 2 5 2 3" xfId="12756" xr:uid="{D8B73318-CB1A-42D9-8931-45489FF60BC5}"/>
    <cellStyle name="Normal 4 2 2 4 2 2 5 3" xfId="6379" xr:uid="{00000000-0005-0000-0000-0000A4120000}"/>
    <cellStyle name="Normal 4 2 2 4 2 2 5 3 2" xfId="14826" xr:uid="{96A0A8DA-180F-4DA7-895C-F96248FDC5FF}"/>
    <cellStyle name="Normal 4 2 2 4 2 2 5 4" xfId="10611" xr:uid="{CB52C752-4D25-4576-8FEB-5D5642ADEB20}"/>
    <cellStyle name="Normal 4 2 2 4 2 2 6" xfId="2509" xr:uid="{00000000-0005-0000-0000-0000A5120000}"/>
    <cellStyle name="Normal 4 2 2 4 2 2 6 2" xfId="6792" xr:uid="{00000000-0005-0000-0000-0000A6120000}"/>
    <cellStyle name="Normal 4 2 2 4 2 2 6 2 2" xfId="15239" xr:uid="{B4C23238-73A7-43D2-8039-51A2D7B219B8}"/>
    <cellStyle name="Normal 4 2 2 4 2 2 6 3" xfId="11024" xr:uid="{5F641B90-5DC1-41C7-BDC8-297953E94764}"/>
    <cellStyle name="Normal 4 2 2 4 2 2 7" xfId="4727" xr:uid="{00000000-0005-0000-0000-0000A7120000}"/>
    <cellStyle name="Normal 4 2 2 4 2 2 7 2" xfId="13174" xr:uid="{6E505A81-F428-41A9-A74A-50D97CB0D2A7}"/>
    <cellStyle name="Normal 4 2 2 4 2 2 8" xfId="8959" xr:uid="{C45B141D-E13D-4085-8DFF-AAAABE7512D6}"/>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1" xr:uid="{CC10A3FA-8636-4CBA-8A1B-1D2C6511F1E2}"/>
    <cellStyle name="Normal 4 2 2 4 2 3 2 3" xfId="11516" xr:uid="{6897F4FF-DF4A-43EF-9D0A-155207455F6E}"/>
    <cellStyle name="Normal 4 2 2 4 2 3 3" xfId="5139" xr:uid="{00000000-0005-0000-0000-0000AB120000}"/>
    <cellStyle name="Normal 4 2 2 4 2 3 3 2" xfId="13586" xr:uid="{1A8B4586-C47D-4345-8823-7AAEB4111EF1}"/>
    <cellStyle name="Normal 4 2 2 4 2 3 4" xfId="9371" xr:uid="{600119A0-BB50-46D0-9CF6-A304C84A7A14}"/>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4" xr:uid="{857B0F69-8311-4778-8B7D-C089CDEA87B0}"/>
    <cellStyle name="Normal 4 2 2 4 2 4 2 3" xfId="11929" xr:uid="{4A1D214A-E701-4A67-95F4-9D13BC8E61C0}"/>
    <cellStyle name="Normal 4 2 2 4 2 4 3" xfId="5552" xr:uid="{00000000-0005-0000-0000-0000AF120000}"/>
    <cellStyle name="Normal 4 2 2 4 2 4 3 2" xfId="13999" xr:uid="{07848A7A-81D8-4ABC-845F-05EC09778021}"/>
    <cellStyle name="Normal 4 2 2 4 2 4 4" xfId="9784" xr:uid="{429311FB-17E0-4350-9A9B-853A0A2B7882}"/>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57" xr:uid="{50A6FA92-B683-4C8F-8072-5F722F324F4F}"/>
    <cellStyle name="Normal 4 2 2 4 2 5 2 3" xfId="12342" xr:uid="{C9A6FEEC-43FF-4889-A755-527937A9B00A}"/>
    <cellStyle name="Normal 4 2 2 4 2 5 3" xfId="5965" xr:uid="{00000000-0005-0000-0000-0000B3120000}"/>
    <cellStyle name="Normal 4 2 2 4 2 5 3 2" xfId="14412" xr:uid="{A2A832CA-0F71-42D5-AC24-F8508AF75717}"/>
    <cellStyle name="Normal 4 2 2 4 2 5 4" xfId="10197" xr:uid="{C9B6F06D-1F58-4314-95B9-A50EE611F7C5}"/>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0" xr:uid="{35EE008F-344F-45D7-87CD-C8BD629EC7BE}"/>
    <cellStyle name="Normal 4 2 2 4 2 6 2 3" xfId="12755" xr:uid="{8AD292B2-4026-4AC0-9E51-3AF4711D4A13}"/>
    <cellStyle name="Normal 4 2 2 4 2 6 3" xfId="6378" xr:uid="{00000000-0005-0000-0000-0000B7120000}"/>
    <cellStyle name="Normal 4 2 2 4 2 6 3 2" xfId="14825" xr:uid="{DE0840F6-4147-4975-BCBD-861C9E3949BE}"/>
    <cellStyle name="Normal 4 2 2 4 2 6 4" xfId="10610" xr:uid="{D94626D4-7B25-49DD-B307-0176EE5187E4}"/>
    <cellStyle name="Normal 4 2 2 4 2 7" xfId="2508" xr:uid="{00000000-0005-0000-0000-0000B8120000}"/>
    <cellStyle name="Normal 4 2 2 4 2 7 2" xfId="6791" xr:uid="{00000000-0005-0000-0000-0000B9120000}"/>
    <cellStyle name="Normal 4 2 2 4 2 7 2 2" xfId="15238" xr:uid="{6F2FB2E9-09B3-47B0-82F6-B9A2F6A70293}"/>
    <cellStyle name="Normal 4 2 2 4 2 7 3" xfId="11023" xr:uid="{0CB33CB9-488A-49D6-B5B7-E3C6D54D2AC5}"/>
    <cellStyle name="Normal 4 2 2 4 2 8" xfId="4726" xr:uid="{00000000-0005-0000-0000-0000BA120000}"/>
    <cellStyle name="Normal 4 2 2 4 2 8 2" xfId="13173" xr:uid="{28E52BD8-1094-4D68-9230-9D8F57F5441F}"/>
    <cellStyle name="Normal 4 2 2 4 2 9" xfId="8958" xr:uid="{38CF4B86-0FF9-4012-8EB5-BEE53FF5AFA5}"/>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3" xr:uid="{5A9C0CD2-CF03-4934-BE18-B27E39FEF8A2}"/>
    <cellStyle name="Normal 4 2 2 4 3 2 2 3" xfId="11518" xr:uid="{30E6C52C-31BB-4440-9F3E-B469438AD59D}"/>
    <cellStyle name="Normal 4 2 2 4 3 2 3" xfId="5141" xr:uid="{00000000-0005-0000-0000-0000BF120000}"/>
    <cellStyle name="Normal 4 2 2 4 3 2 3 2" xfId="13588" xr:uid="{E4A85277-5E46-4481-951A-EED2C0B8791B}"/>
    <cellStyle name="Normal 4 2 2 4 3 2 4" xfId="9373" xr:uid="{FD71B5B9-4602-495A-B990-88FBF2CC2DDE}"/>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6" xr:uid="{E93A2B7C-347B-49E0-87A1-EF41F90668F7}"/>
    <cellStyle name="Normal 4 2 2 4 3 3 2 3" xfId="11931" xr:uid="{F73C25A4-5E2F-454F-A1CE-C74FA5B356E2}"/>
    <cellStyle name="Normal 4 2 2 4 3 3 3" xfId="5554" xr:uid="{00000000-0005-0000-0000-0000C3120000}"/>
    <cellStyle name="Normal 4 2 2 4 3 3 3 2" xfId="14001" xr:uid="{8C9918A4-B061-453D-94BF-B7FFCF472E92}"/>
    <cellStyle name="Normal 4 2 2 4 3 3 4" xfId="9786" xr:uid="{F3735437-596D-45AD-8E56-92E7AC396ABF}"/>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59" xr:uid="{EFD36857-7297-4808-A561-3612F5E7DABF}"/>
    <cellStyle name="Normal 4 2 2 4 3 4 2 3" xfId="12344" xr:uid="{1C7618A3-4C07-49D8-A5C3-B4E650938B77}"/>
    <cellStyle name="Normal 4 2 2 4 3 4 3" xfId="5967" xr:uid="{00000000-0005-0000-0000-0000C7120000}"/>
    <cellStyle name="Normal 4 2 2 4 3 4 3 2" xfId="14414" xr:uid="{26E34D1D-D5C8-42CB-B612-823585A2FC68}"/>
    <cellStyle name="Normal 4 2 2 4 3 4 4" xfId="10199" xr:uid="{808123EF-C2D3-4FB4-9E26-FFE37A391DDA}"/>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2" xr:uid="{5A33BF97-0AAF-4E7C-9A05-3DECEA3FB023}"/>
    <cellStyle name="Normal 4 2 2 4 3 5 2 3" xfId="12757" xr:uid="{D462C626-83D8-4384-9CDC-E8B6599D0AC1}"/>
    <cellStyle name="Normal 4 2 2 4 3 5 3" xfId="6380" xr:uid="{00000000-0005-0000-0000-0000CB120000}"/>
    <cellStyle name="Normal 4 2 2 4 3 5 3 2" xfId="14827" xr:uid="{21CDBA19-69C6-4286-8537-6AA62C9CD03D}"/>
    <cellStyle name="Normal 4 2 2 4 3 5 4" xfId="10612" xr:uid="{80FC5B74-F81F-4D69-8BAC-8A04C780CDCA}"/>
    <cellStyle name="Normal 4 2 2 4 3 6" xfId="2510" xr:uid="{00000000-0005-0000-0000-0000CC120000}"/>
    <cellStyle name="Normal 4 2 2 4 3 6 2" xfId="6793" xr:uid="{00000000-0005-0000-0000-0000CD120000}"/>
    <cellStyle name="Normal 4 2 2 4 3 6 2 2" xfId="15240" xr:uid="{8A12D80C-ECAD-47F1-82BF-FED12D0F63E3}"/>
    <cellStyle name="Normal 4 2 2 4 3 6 3" xfId="11025" xr:uid="{BF47A6A1-B917-47E6-80B5-A1F6664D3ACC}"/>
    <cellStyle name="Normal 4 2 2 4 3 7" xfId="4728" xr:uid="{00000000-0005-0000-0000-0000CE120000}"/>
    <cellStyle name="Normal 4 2 2 4 3 7 2" xfId="13175" xr:uid="{82079EE0-4E43-4971-8199-03726CA66B67}"/>
    <cellStyle name="Normal 4 2 2 4 3 8" xfId="8960" xr:uid="{A22F9987-F921-403E-8CEC-B9198FF60520}"/>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0" xr:uid="{DEDF14EB-AC1C-465B-8370-D667734CA980}"/>
    <cellStyle name="Normal 4 2 2 4 4 2 3" xfId="11515" xr:uid="{FE1F3474-B651-4118-A913-F986687A5247}"/>
    <cellStyle name="Normal 4 2 2 4 4 3" xfId="5138" xr:uid="{00000000-0005-0000-0000-0000D2120000}"/>
    <cellStyle name="Normal 4 2 2 4 4 3 2" xfId="13585" xr:uid="{BBF65AF4-7F11-485D-BE18-A9955A2ADBC3}"/>
    <cellStyle name="Normal 4 2 2 4 4 4" xfId="9370" xr:uid="{8BE88973-1335-4C5C-93C5-A42295B38E2F}"/>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3" xr:uid="{C569B315-C15A-463C-9BA8-DB3D9F2E36B9}"/>
    <cellStyle name="Normal 4 2 2 4 5 2 3" xfId="11928" xr:uid="{8AA10076-3EF6-4D05-96A7-2744429788FA}"/>
    <cellStyle name="Normal 4 2 2 4 5 3" xfId="5551" xr:uid="{00000000-0005-0000-0000-0000D6120000}"/>
    <cellStyle name="Normal 4 2 2 4 5 3 2" xfId="13998" xr:uid="{452672EC-8140-485C-8020-E45C35E7DF1C}"/>
    <cellStyle name="Normal 4 2 2 4 5 4" xfId="9783" xr:uid="{6D3E423F-BD76-453D-994C-2F64C23C687C}"/>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6" xr:uid="{8AE8A2B7-5ED6-498A-8775-08C61397FC18}"/>
    <cellStyle name="Normal 4 2 2 4 6 2 3" xfId="12341" xr:uid="{21677D21-4A1C-4565-BBF3-7D05D2450C3F}"/>
    <cellStyle name="Normal 4 2 2 4 6 3" xfId="5964" xr:uid="{00000000-0005-0000-0000-0000DA120000}"/>
    <cellStyle name="Normal 4 2 2 4 6 3 2" xfId="14411" xr:uid="{E7DE6F28-76B2-4927-83E4-9E4FF2051BB5}"/>
    <cellStyle name="Normal 4 2 2 4 6 4" xfId="10196" xr:uid="{491D0996-36C2-4B79-BDCB-B8D054765BCA}"/>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69" xr:uid="{67BDDF7E-7DD6-40E4-AB49-0B2E44A25B43}"/>
    <cellStyle name="Normal 4 2 2 4 7 2 3" xfId="12754" xr:uid="{C3FF83CE-0810-4E5F-A3F8-605F78B3CCD5}"/>
    <cellStyle name="Normal 4 2 2 4 7 3" xfId="6377" xr:uid="{00000000-0005-0000-0000-0000DE120000}"/>
    <cellStyle name="Normal 4 2 2 4 7 3 2" xfId="14824" xr:uid="{97EEA99A-29B5-4E93-A565-C94826BA2052}"/>
    <cellStyle name="Normal 4 2 2 4 7 4" xfId="10609" xr:uid="{D0DB44C3-B953-43A8-BA4C-486CF557FC37}"/>
    <cellStyle name="Normal 4 2 2 4 8" xfId="2507" xr:uid="{00000000-0005-0000-0000-0000DF120000}"/>
    <cellStyle name="Normal 4 2 2 4 8 2" xfId="6790" xr:uid="{00000000-0005-0000-0000-0000E0120000}"/>
    <cellStyle name="Normal 4 2 2 4 8 2 2" xfId="15237" xr:uid="{571FD6B8-ACCD-435A-97A8-2062D1A22FA8}"/>
    <cellStyle name="Normal 4 2 2 4 8 3" xfId="11022" xr:uid="{40D5A2BE-F354-4CB5-B585-4D67283A579D}"/>
    <cellStyle name="Normal 4 2 2 4 9" xfId="4725" xr:uid="{00000000-0005-0000-0000-0000E1120000}"/>
    <cellStyle name="Normal 4 2 2 4 9 2" xfId="13172" xr:uid="{EC33F2EF-B121-4D33-9D11-A89BBC7F48E1}"/>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5" xr:uid="{DD8526AD-F502-40DE-8508-DEBD4A4014E0}"/>
    <cellStyle name="Normal 4 2 2 5 2 2 2 3" xfId="11520" xr:uid="{6322E432-1353-4D9B-933F-17FF1DAD7A1F}"/>
    <cellStyle name="Normal 4 2 2 5 2 2 3" xfId="5143" xr:uid="{00000000-0005-0000-0000-0000E7120000}"/>
    <cellStyle name="Normal 4 2 2 5 2 2 3 2" xfId="13590" xr:uid="{43BF39F5-C44C-4A12-995C-E01C53751A2B}"/>
    <cellStyle name="Normal 4 2 2 5 2 2 4" xfId="9375" xr:uid="{CB67ECEA-F796-4D09-AF03-44581B10A3EE}"/>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48" xr:uid="{89F9ED94-EBE2-4B3E-AF8A-88878C2D489D}"/>
    <cellStyle name="Normal 4 2 2 5 2 3 2 3" xfId="11933" xr:uid="{B7898231-397D-4E50-9668-88C4C6A25522}"/>
    <cellStyle name="Normal 4 2 2 5 2 3 3" xfId="5556" xr:uid="{00000000-0005-0000-0000-0000EB120000}"/>
    <cellStyle name="Normal 4 2 2 5 2 3 3 2" xfId="14003" xr:uid="{5141DC5A-6079-452C-8B50-7468B1E6DDFF}"/>
    <cellStyle name="Normal 4 2 2 5 2 3 4" xfId="9788" xr:uid="{C80858A3-307E-4353-9AA4-5B950E0C17C5}"/>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1" xr:uid="{BD823067-D0D0-4990-9239-E5D4F74F8BD4}"/>
    <cellStyle name="Normal 4 2 2 5 2 4 2 3" xfId="12346" xr:uid="{A7A231E0-AAD0-44F2-8F5F-637B1B707ED0}"/>
    <cellStyle name="Normal 4 2 2 5 2 4 3" xfId="5969" xr:uid="{00000000-0005-0000-0000-0000EF120000}"/>
    <cellStyle name="Normal 4 2 2 5 2 4 3 2" xfId="14416" xr:uid="{2DB7B28F-B279-4B9E-8A22-8AD7241C8879}"/>
    <cellStyle name="Normal 4 2 2 5 2 4 4" xfId="10201" xr:uid="{56E710B3-1FC8-4CA4-973A-6E23F57BB7DC}"/>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4" xr:uid="{06952CB8-5C8E-408B-A1BE-8A692D31F9D6}"/>
    <cellStyle name="Normal 4 2 2 5 2 5 2 3" xfId="12759" xr:uid="{145F2287-491D-4523-A91F-B029DA8BE837}"/>
    <cellStyle name="Normal 4 2 2 5 2 5 3" xfId="6382" xr:uid="{00000000-0005-0000-0000-0000F3120000}"/>
    <cellStyle name="Normal 4 2 2 5 2 5 3 2" xfId="14829" xr:uid="{0890B000-9B14-491A-9977-FA92A2C7F5B3}"/>
    <cellStyle name="Normal 4 2 2 5 2 5 4" xfId="10614" xr:uid="{0169F866-8132-4961-BD3D-3131BBF49B74}"/>
    <cellStyle name="Normal 4 2 2 5 2 6" xfId="2512" xr:uid="{00000000-0005-0000-0000-0000F4120000}"/>
    <cellStyle name="Normal 4 2 2 5 2 6 2" xfId="6795" xr:uid="{00000000-0005-0000-0000-0000F5120000}"/>
    <cellStyle name="Normal 4 2 2 5 2 6 2 2" xfId="15242" xr:uid="{5E4012BF-4587-4273-B88E-151E80AD6A60}"/>
    <cellStyle name="Normal 4 2 2 5 2 6 3" xfId="11027" xr:uid="{6FD3CCAB-1210-4E05-809D-EF09631D5983}"/>
    <cellStyle name="Normal 4 2 2 5 2 7" xfId="4730" xr:uid="{00000000-0005-0000-0000-0000F6120000}"/>
    <cellStyle name="Normal 4 2 2 5 2 7 2" xfId="13177" xr:uid="{817906AF-EF01-4C4A-B9F3-B4F66418259B}"/>
    <cellStyle name="Normal 4 2 2 5 2 8" xfId="8962" xr:uid="{D4E1FB26-6EDE-46E4-9C24-47CCB68D9EBB}"/>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4" xr:uid="{78935CCC-3BC7-4CC2-89E6-25DF5D8916AE}"/>
    <cellStyle name="Normal 4 2 2 5 3 2 3" xfId="11519" xr:uid="{07A20D08-5983-4E95-A5F4-30192497FEE3}"/>
    <cellStyle name="Normal 4 2 2 5 3 3" xfId="5142" xr:uid="{00000000-0005-0000-0000-0000FA120000}"/>
    <cellStyle name="Normal 4 2 2 5 3 3 2" xfId="13589" xr:uid="{49605DAD-7301-4A86-B7AA-835B122D6D13}"/>
    <cellStyle name="Normal 4 2 2 5 3 4" xfId="9374" xr:uid="{8A419F1C-7D8A-4845-81AD-00B0CBBDA9D9}"/>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47" xr:uid="{A862C3C6-D63A-4514-B092-8588F67682CE}"/>
    <cellStyle name="Normal 4 2 2 5 4 2 3" xfId="11932" xr:uid="{C79F498C-4AAD-4577-B31E-8842DF775DE2}"/>
    <cellStyle name="Normal 4 2 2 5 4 3" xfId="5555" xr:uid="{00000000-0005-0000-0000-0000FE120000}"/>
    <cellStyle name="Normal 4 2 2 5 4 3 2" xfId="14002" xr:uid="{0AAD2D7D-2C03-4A04-9F0A-328290FABD49}"/>
    <cellStyle name="Normal 4 2 2 5 4 4" xfId="9787" xr:uid="{F5AD2B96-B29C-4685-8F6C-75BA6D61E004}"/>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0" xr:uid="{1087A4EC-F80C-486A-B0C0-186E42CAB960}"/>
    <cellStyle name="Normal 4 2 2 5 5 2 3" xfId="12345" xr:uid="{D41FFD24-E32C-447A-92B5-818109FAF486}"/>
    <cellStyle name="Normal 4 2 2 5 5 3" xfId="5968" xr:uid="{00000000-0005-0000-0000-000002130000}"/>
    <cellStyle name="Normal 4 2 2 5 5 3 2" xfId="14415" xr:uid="{5BEF9D91-952B-4B74-9CED-84F9C3012EAE}"/>
    <cellStyle name="Normal 4 2 2 5 5 4" xfId="10200" xr:uid="{8EF748F8-9AE4-4D95-9E80-979D81FB725C}"/>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3" xr:uid="{0A39A480-AADB-480B-8CB4-29352EFE0FE2}"/>
    <cellStyle name="Normal 4 2 2 5 6 2 3" xfId="12758" xr:uid="{6F86555E-C0F3-460C-B4B6-8C9056128F06}"/>
    <cellStyle name="Normal 4 2 2 5 6 3" xfId="6381" xr:uid="{00000000-0005-0000-0000-000006130000}"/>
    <cellStyle name="Normal 4 2 2 5 6 3 2" xfId="14828" xr:uid="{3FFB2AF4-8C91-4742-BD7A-3810ADB041A2}"/>
    <cellStyle name="Normal 4 2 2 5 6 4" xfId="10613" xr:uid="{E80DB918-7842-4C30-ACFD-C0BB39941099}"/>
    <cellStyle name="Normal 4 2 2 5 7" xfId="2511" xr:uid="{00000000-0005-0000-0000-000007130000}"/>
    <cellStyle name="Normal 4 2 2 5 7 2" xfId="6794" xr:uid="{00000000-0005-0000-0000-000008130000}"/>
    <cellStyle name="Normal 4 2 2 5 7 2 2" xfId="15241" xr:uid="{842A99E1-7543-4835-906D-920F0E3CEBA4}"/>
    <cellStyle name="Normal 4 2 2 5 7 3" xfId="11026" xr:uid="{24075A6C-C56F-409C-B4B9-3C9511A266EF}"/>
    <cellStyle name="Normal 4 2 2 5 8" xfId="4729" xr:uid="{00000000-0005-0000-0000-000009130000}"/>
    <cellStyle name="Normal 4 2 2 5 8 2" xfId="13176" xr:uid="{18A147A5-00CB-4BE7-8F7D-79DE3FBFD54D}"/>
    <cellStyle name="Normal 4 2 2 5 9" xfId="8961" xr:uid="{2A6D2DA3-A6F0-4B6C-8C94-AA8EAD38BCD4}"/>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6" xr:uid="{7A3C463D-304C-4F5C-976F-21DFFB05CAEC}"/>
    <cellStyle name="Normal 4 2 2 6 2 2 3" xfId="11521" xr:uid="{C869441E-4D63-42FE-82B6-51B4F3564CC6}"/>
    <cellStyle name="Normal 4 2 2 6 2 3" xfId="5144" xr:uid="{00000000-0005-0000-0000-00000E130000}"/>
    <cellStyle name="Normal 4 2 2 6 2 3 2" xfId="13591" xr:uid="{4D3252D5-4600-4B2B-8908-A7E622735095}"/>
    <cellStyle name="Normal 4 2 2 6 2 4" xfId="9376" xr:uid="{220826E7-6BD3-45AC-8807-2E15D9F0AEC1}"/>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49" xr:uid="{B28880A4-3413-4BC6-A670-1FA33EFE02FE}"/>
    <cellStyle name="Normal 4 2 2 6 3 2 3" xfId="11934" xr:uid="{57722474-6DD5-4F68-B12D-EA9C082A02DF}"/>
    <cellStyle name="Normal 4 2 2 6 3 3" xfId="5557" xr:uid="{00000000-0005-0000-0000-000012130000}"/>
    <cellStyle name="Normal 4 2 2 6 3 3 2" xfId="14004" xr:uid="{3D781BC1-0365-4E83-9899-4ED5279E696A}"/>
    <cellStyle name="Normal 4 2 2 6 3 4" xfId="9789" xr:uid="{71EAA2F4-18D5-447D-A9BC-5909E7CD1360}"/>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2" xr:uid="{5F3B37DA-BA5C-4B06-9ABA-F3F29CA1FCBC}"/>
    <cellStyle name="Normal 4 2 2 6 4 2 3" xfId="12347" xr:uid="{97BEAE3E-4C9F-42BF-AD02-5C238C484839}"/>
    <cellStyle name="Normal 4 2 2 6 4 3" xfId="5970" xr:uid="{00000000-0005-0000-0000-000016130000}"/>
    <cellStyle name="Normal 4 2 2 6 4 3 2" xfId="14417" xr:uid="{87C7F8CB-B682-4508-8143-39605D30D2DA}"/>
    <cellStyle name="Normal 4 2 2 6 4 4" xfId="10202" xr:uid="{C2E7D7FB-9F83-4152-ADF0-A6B45FD7D09F}"/>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5" xr:uid="{4F8C5DFB-5A21-4826-BAF2-AB79DC754BB2}"/>
    <cellStyle name="Normal 4 2 2 6 5 2 3" xfId="12760" xr:uid="{49C4CB99-03FB-497B-9AB1-4E97E79AF6D5}"/>
    <cellStyle name="Normal 4 2 2 6 5 3" xfId="6383" xr:uid="{00000000-0005-0000-0000-00001A130000}"/>
    <cellStyle name="Normal 4 2 2 6 5 3 2" xfId="14830" xr:uid="{E1CAEA17-267F-4CC7-AD25-76B4535D5F08}"/>
    <cellStyle name="Normal 4 2 2 6 5 4" xfId="10615" xr:uid="{5DAC95C0-9C38-4CB3-9F42-CE4B05FD3F10}"/>
    <cellStyle name="Normal 4 2 2 6 6" xfId="2513" xr:uid="{00000000-0005-0000-0000-00001B130000}"/>
    <cellStyle name="Normal 4 2 2 6 6 2" xfId="6796" xr:uid="{00000000-0005-0000-0000-00001C130000}"/>
    <cellStyle name="Normal 4 2 2 6 6 2 2" xfId="15243" xr:uid="{445AAACA-49C9-404C-BB76-0C236842E52A}"/>
    <cellStyle name="Normal 4 2 2 6 6 3" xfId="11028" xr:uid="{2D79BEDA-4BB5-422F-81D1-36E88E00105F}"/>
    <cellStyle name="Normal 4 2 2 6 7" xfId="4731" xr:uid="{00000000-0005-0000-0000-00001D130000}"/>
    <cellStyle name="Normal 4 2 2 6 7 2" xfId="13178" xr:uid="{30BA526B-047D-48A3-8B2E-7E4A73A27F73}"/>
    <cellStyle name="Normal 4 2 2 6 8" xfId="8963" xr:uid="{9EBD9428-FA4B-42E5-9FB5-A3EBFEA6216C}"/>
    <cellStyle name="Normal 4 2 2 7" xfId="815" xr:uid="{00000000-0005-0000-0000-00001E130000}"/>
    <cellStyle name="Normal 4 2 2 7 2" xfId="3052" xr:uid="{00000000-0005-0000-0000-00001F130000}"/>
    <cellStyle name="Normal 4 2 2 7 2 2" xfId="7274" xr:uid="{00000000-0005-0000-0000-000020130000}"/>
    <cellStyle name="Normal 4 2 2 7 2 2 2" xfId="15721" xr:uid="{4DCB311F-7230-42DA-9EED-3AFC01B3DE5B}"/>
    <cellStyle name="Normal 4 2 2 7 2 3" xfId="11506" xr:uid="{57878116-4711-4EB4-8072-796C70FA0699}"/>
    <cellStyle name="Normal 4 2 2 7 3" xfId="5129" xr:uid="{00000000-0005-0000-0000-000021130000}"/>
    <cellStyle name="Normal 4 2 2 7 3 2" xfId="13576" xr:uid="{AA2A59E6-6DC9-4A3A-A518-8E2132855785}"/>
    <cellStyle name="Normal 4 2 2 7 4" xfId="9361" xr:uid="{8F8F043C-739E-45FC-9876-BE32BD935868}"/>
    <cellStyle name="Normal 4 2 2 8" xfId="1235" xr:uid="{00000000-0005-0000-0000-000022130000}"/>
    <cellStyle name="Normal 4 2 2 8 2" xfId="3465" xr:uid="{00000000-0005-0000-0000-000023130000}"/>
    <cellStyle name="Normal 4 2 2 8 2 2" xfId="7687" xr:uid="{00000000-0005-0000-0000-000024130000}"/>
    <cellStyle name="Normal 4 2 2 8 2 2 2" xfId="16134" xr:uid="{CEE6C884-C958-4241-B8B8-FC246A03A47A}"/>
    <cellStyle name="Normal 4 2 2 8 2 3" xfId="11919" xr:uid="{C242F15E-506E-4766-95C0-FA96B7B794DC}"/>
    <cellStyle name="Normal 4 2 2 8 3" xfId="5542" xr:uid="{00000000-0005-0000-0000-000025130000}"/>
    <cellStyle name="Normal 4 2 2 8 3 2" xfId="13989" xr:uid="{DBCF7D6F-1BB1-425B-95F0-FA536F664A4D}"/>
    <cellStyle name="Normal 4 2 2 8 4" xfId="9774" xr:uid="{A33C435C-D491-4A2F-BF0D-A60282A0CCCE}"/>
    <cellStyle name="Normal 4 2 2 9" xfId="1648" xr:uid="{00000000-0005-0000-0000-000026130000}"/>
    <cellStyle name="Normal 4 2 2 9 2" xfId="3878" xr:uid="{00000000-0005-0000-0000-000027130000}"/>
    <cellStyle name="Normal 4 2 2 9 2 2" xfId="8100" xr:uid="{00000000-0005-0000-0000-000028130000}"/>
    <cellStyle name="Normal 4 2 2 9 2 2 2" xfId="16547" xr:uid="{DF406923-4911-42BA-930B-964CDDB548E3}"/>
    <cellStyle name="Normal 4 2 2 9 2 3" xfId="12332" xr:uid="{E50DC7E3-7AB8-463F-9A48-B00E53A4B1B9}"/>
    <cellStyle name="Normal 4 2 2 9 3" xfId="5955" xr:uid="{00000000-0005-0000-0000-000029130000}"/>
    <cellStyle name="Normal 4 2 2 9 3 2" xfId="14402" xr:uid="{267D2F9D-DB36-4883-9601-CAC46015CD72}"/>
    <cellStyle name="Normal 4 2 2 9 4" xfId="10187" xr:uid="{D910ABEE-22F5-4DFC-AFE5-D9ACDC7BA7D9}"/>
    <cellStyle name="Normal 4 2 3" xfId="354" xr:uid="{00000000-0005-0000-0000-00002A130000}"/>
    <cellStyle name="Normal 4 2 4" xfId="355" xr:uid="{00000000-0005-0000-0000-00002B130000}"/>
    <cellStyle name="Normal 4 2 4 10" xfId="4732" xr:uid="{00000000-0005-0000-0000-00002C130000}"/>
    <cellStyle name="Normal 4 2 4 10 2" xfId="13179" xr:uid="{DA273865-253B-46D0-A7CA-0B47818C5970}"/>
    <cellStyle name="Normal 4 2 4 11" xfId="8964" xr:uid="{69A97CEB-1FDA-4589-901F-6B534051729A}"/>
    <cellStyle name="Normal 4 2 4 2" xfId="356" xr:uid="{00000000-0005-0000-0000-00002D130000}"/>
    <cellStyle name="Normal 4 2 4 2 10" xfId="8965" xr:uid="{5D9AC27E-8E08-4B1B-B97A-D6D754237DE2}"/>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0" xr:uid="{904A7501-F0FB-44F8-A936-A19948B087B9}"/>
    <cellStyle name="Normal 4 2 4 2 2 2 2 2 3" xfId="11525" xr:uid="{253EE47A-8AD7-49CE-8A86-905871510674}"/>
    <cellStyle name="Normal 4 2 4 2 2 2 2 3" xfId="5148" xr:uid="{00000000-0005-0000-0000-000033130000}"/>
    <cellStyle name="Normal 4 2 4 2 2 2 2 3 2" xfId="13595" xr:uid="{BA7A124B-AB66-4DAF-85CD-EFAC2F2972C8}"/>
    <cellStyle name="Normal 4 2 4 2 2 2 2 4" xfId="9380" xr:uid="{554568CC-A0D9-4150-9DFC-B3D8D49DDF8C}"/>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3" xr:uid="{55E8C8B5-B78E-441C-9DF5-9F4144AE420B}"/>
    <cellStyle name="Normal 4 2 4 2 2 2 3 2 3" xfId="11938" xr:uid="{C53FAE7E-2A55-4D5B-91FF-30F0EB1C8164}"/>
    <cellStyle name="Normal 4 2 4 2 2 2 3 3" xfId="5561" xr:uid="{00000000-0005-0000-0000-000037130000}"/>
    <cellStyle name="Normal 4 2 4 2 2 2 3 3 2" xfId="14008" xr:uid="{900424B2-217C-49DD-8170-2EC2F05D8104}"/>
    <cellStyle name="Normal 4 2 4 2 2 2 3 4" xfId="9793" xr:uid="{88B0EA08-4C27-4077-B333-E813C7D52A81}"/>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6" xr:uid="{415D4E21-DA3C-4E1D-BC83-2369FD81E843}"/>
    <cellStyle name="Normal 4 2 4 2 2 2 4 2 3" xfId="12351" xr:uid="{C1417AE4-1CC0-45FD-9CF4-424F36EE1CC3}"/>
    <cellStyle name="Normal 4 2 4 2 2 2 4 3" xfId="5974" xr:uid="{00000000-0005-0000-0000-00003B130000}"/>
    <cellStyle name="Normal 4 2 4 2 2 2 4 3 2" xfId="14421" xr:uid="{B1ED8BCE-2E63-4736-8C21-64DFD5190ED9}"/>
    <cellStyle name="Normal 4 2 4 2 2 2 4 4" xfId="10206" xr:uid="{C273F2CB-7EA2-4FF3-8AE6-2717C5E70D11}"/>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79" xr:uid="{7C8D649F-7E01-4A26-9136-9FECA8964CEB}"/>
    <cellStyle name="Normal 4 2 4 2 2 2 5 2 3" xfId="12764" xr:uid="{E378229E-99B9-47CC-91F0-98B419843D30}"/>
    <cellStyle name="Normal 4 2 4 2 2 2 5 3" xfId="6387" xr:uid="{00000000-0005-0000-0000-00003F130000}"/>
    <cellStyle name="Normal 4 2 4 2 2 2 5 3 2" xfId="14834" xr:uid="{6C97A01D-C1F0-4297-A168-D50014659599}"/>
    <cellStyle name="Normal 4 2 4 2 2 2 5 4" xfId="10619" xr:uid="{BD545097-A3BA-40D3-8AA9-9AE2C2BCFA3E}"/>
    <cellStyle name="Normal 4 2 4 2 2 2 6" xfId="2517" xr:uid="{00000000-0005-0000-0000-000040130000}"/>
    <cellStyle name="Normal 4 2 4 2 2 2 6 2" xfId="6800" xr:uid="{00000000-0005-0000-0000-000041130000}"/>
    <cellStyle name="Normal 4 2 4 2 2 2 6 2 2" xfId="15247" xr:uid="{802B2212-26A1-47A4-9DFA-66436554F20D}"/>
    <cellStyle name="Normal 4 2 4 2 2 2 6 3" xfId="11032" xr:uid="{EFE98D0B-F7C1-45EB-A8D2-244A6E24687C}"/>
    <cellStyle name="Normal 4 2 4 2 2 2 7" xfId="4735" xr:uid="{00000000-0005-0000-0000-000042130000}"/>
    <cellStyle name="Normal 4 2 4 2 2 2 7 2" xfId="13182" xr:uid="{10113524-CA8E-462B-967D-4C0FF0084A81}"/>
    <cellStyle name="Normal 4 2 4 2 2 2 8" xfId="8967" xr:uid="{DB32602E-388F-4ABD-9630-AE2F9AF1D53E}"/>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39" xr:uid="{0C5151D1-F132-45E1-83DF-4792EDB00A4C}"/>
    <cellStyle name="Normal 4 2 4 2 2 3 2 3" xfId="11524" xr:uid="{8484DB2B-A867-499B-BD99-5E71CE9213E4}"/>
    <cellStyle name="Normal 4 2 4 2 2 3 3" xfId="5147" xr:uid="{00000000-0005-0000-0000-000046130000}"/>
    <cellStyle name="Normal 4 2 4 2 2 3 3 2" xfId="13594" xr:uid="{5EDA7212-797D-4857-A73F-BC1C394E1C1F}"/>
    <cellStyle name="Normal 4 2 4 2 2 3 4" xfId="9379" xr:uid="{27A198E1-EBCF-4042-B8BD-E071403517B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2" xr:uid="{62A73DFD-597D-43F2-B210-EDF24429BD58}"/>
    <cellStyle name="Normal 4 2 4 2 2 4 2 3" xfId="11937" xr:uid="{1C9E8B21-7CB5-406E-856C-9C463C79486D}"/>
    <cellStyle name="Normal 4 2 4 2 2 4 3" xfId="5560" xr:uid="{00000000-0005-0000-0000-00004A130000}"/>
    <cellStyle name="Normal 4 2 4 2 2 4 3 2" xfId="14007" xr:uid="{64F6A2EE-A495-4880-AAA7-3A976D6ABDB6}"/>
    <cellStyle name="Normal 4 2 4 2 2 4 4" xfId="9792" xr:uid="{EA7CC84D-9685-434A-8A7A-0532559596C2}"/>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5" xr:uid="{4BF84340-EC8C-4C7D-B4E1-16212CB60877}"/>
    <cellStyle name="Normal 4 2 4 2 2 5 2 3" xfId="12350" xr:uid="{8C49E6B2-8F32-4EF9-9FE5-AC402BA19AD7}"/>
    <cellStyle name="Normal 4 2 4 2 2 5 3" xfId="5973" xr:uid="{00000000-0005-0000-0000-00004E130000}"/>
    <cellStyle name="Normal 4 2 4 2 2 5 3 2" xfId="14420" xr:uid="{3A178C81-D6DA-4369-A6AD-7BCD51A1203E}"/>
    <cellStyle name="Normal 4 2 4 2 2 5 4" xfId="10205" xr:uid="{FA90D7D4-0E18-44F2-80D5-64080D1467FD}"/>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78" xr:uid="{C4035CB3-7B64-4053-A762-DB9D9F269745}"/>
    <cellStyle name="Normal 4 2 4 2 2 6 2 3" xfId="12763" xr:uid="{49A6104C-83AC-4341-94FC-33C99FE01915}"/>
    <cellStyle name="Normal 4 2 4 2 2 6 3" xfId="6386" xr:uid="{00000000-0005-0000-0000-000052130000}"/>
    <cellStyle name="Normal 4 2 4 2 2 6 3 2" xfId="14833" xr:uid="{053CEC6B-BF03-44CA-A524-D7B6095C61EA}"/>
    <cellStyle name="Normal 4 2 4 2 2 6 4" xfId="10618" xr:uid="{753732C9-8387-421C-9192-AD4B13F4E162}"/>
    <cellStyle name="Normal 4 2 4 2 2 7" xfId="2516" xr:uid="{00000000-0005-0000-0000-000053130000}"/>
    <cellStyle name="Normal 4 2 4 2 2 7 2" xfId="6799" xr:uid="{00000000-0005-0000-0000-000054130000}"/>
    <cellStyle name="Normal 4 2 4 2 2 7 2 2" xfId="15246" xr:uid="{30249919-D914-4AF8-9AEF-3E5EB2F635DE}"/>
    <cellStyle name="Normal 4 2 4 2 2 7 3" xfId="11031" xr:uid="{9D35B337-134D-4B2F-8C50-5EEAB882555F}"/>
    <cellStyle name="Normal 4 2 4 2 2 8" xfId="4734" xr:uid="{00000000-0005-0000-0000-000055130000}"/>
    <cellStyle name="Normal 4 2 4 2 2 8 2" xfId="13181" xr:uid="{64873205-39E2-47F6-AB1F-20F6494111CE}"/>
    <cellStyle name="Normal 4 2 4 2 2 9" xfId="8966" xr:uid="{346E3CCD-BA60-4FF2-A462-29F439C593BA}"/>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1" xr:uid="{9D75B4B8-FCE3-4211-925E-E3CE1FBCCFD6}"/>
    <cellStyle name="Normal 4 2 4 2 3 2 2 3" xfId="11526" xr:uid="{24341D0C-5239-4C58-869C-129D08745E9D}"/>
    <cellStyle name="Normal 4 2 4 2 3 2 3" xfId="5149" xr:uid="{00000000-0005-0000-0000-00005A130000}"/>
    <cellStyle name="Normal 4 2 4 2 3 2 3 2" xfId="13596" xr:uid="{F5D0DAB5-FE07-42B9-8E5C-B434FB9517F5}"/>
    <cellStyle name="Normal 4 2 4 2 3 2 4" xfId="9381" xr:uid="{C929D80B-497F-45CA-BC33-004E8BC3F176}"/>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4" xr:uid="{095CC0DD-11F0-43B6-82D1-01F7D2847B91}"/>
    <cellStyle name="Normal 4 2 4 2 3 3 2 3" xfId="11939" xr:uid="{10B7427D-A0C0-471E-A13C-25E1F9471DD2}"/>
    <cellStyle name="Normal 4 2 4 2 3 3 3" xfId="5562" xr:uid="{00000000-0005-0000-0000-00005E130000}"/>
    <cellStyle name="Normal 4 2 4 2 3 3 3 2" xfId="14009" xr:uid="{F507873C-BCEC-4DBE-BA81-70CF9808843D}"/>
    <cellStyle name="Normal 4 2 4 2 3 3 4" xfId="9794" xr:uid="{6296014E-D33B-4A06-B3AB-F59469D645BB}"/>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67" xr:uid="{5A7B7A01-0610-411E-9074-4DCFB521C57C}"/>
    <cellStyle name="Normal 4 2 4 2 3 4 2 3" xfId="12352" xr:uid="{23F3FD19-6AA5-42D7-B114-711D7E7656BE}"/>
    <cellStyle name="Normal 4 2 4 2 3 4 3" xfId="5975" xr:uid="{00000000-0005-0000-0000-000062130000}"/>
    <cellStyle name="Normal 4 2 4 2 3 4 3 2" xfId="14422" xr:uid="{222F1E25-9F41-4BC6-A651-38C50303FF68}"/>
    <cellStyle name="Normal 4 2 4 2 3 4 4" xfId="10207" xr:uid="{F2051825-A22C-44D9-A6FE-B43B2D60BFEA}"/>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0" xr:uid="{33639764-3CB3-4ED1-8054-74616519D689}"/>
    <cellStyle name="Normal 4 2 4 2 3 5 2 3" xfId="12765" xr:uid="{7FE0132E-7371-46E4-B2AF-F89A46D5617C}"/>
    <cellStyle name="Normal 4 2 4 2 3 5 3" xfId="6388" xr:uid="{00000000-0005-0000-0000-000066130000}"/>
    <cellStyle name="Normal 4 2 4 2 3 5 3 2" xfId="14835" xr:uid="{A751E229-DA86-4845-8152-7FB4E7C0DFA8}"/>
    <cellStyle name="Normal 4 2 4 2 3 5 4" xfId="10620" xr:uid="{D26CE0FF-4846-4138-A7C6-2460D5BFA6B6}"/>
    <cellStyle name="Normal 4 2 4 2 3 6" xfId="2518" xr:uid="{00000000-0005-0000-0000-000067130000}"/>
    <cellStyle name="Normal 4 2 4 2 3 6 2" xfId="6801" xr:uid="{00000000-0005-0000-0000-000068130000}"/>
    <cellStyle name="Normal 4 2 4 2 3 6 2 2" xfId="15248" xr:uid="{C0360F3C-1415-4845-8C04-B7415A880C34}"/>
    <cellStyle name="Normal 4 2 4 2 3 6 3" xfId="11033" xr:uid="{21570CD0-6B89-4D07-BADB-DCA39B2A6FF5}"/>
    <cellStyle name="Normal 4 2 4 2 3 7" xfId="4736" xr:uid="{00000000-0005-0000-0000-000069130000}"/>
    <cellStyle name="Normal 4 2 4 2 3 7 2" xfId="13183" xr:uid="{CD32B1A2-3389-4140-A9AC-313E6B8DEAB8}"/>
    <cellStyle name="Normal 4 2 4 2 3 8" xfId="8968" xr:uid="{F9ED9706-A6CC-4C2E-9655-EBDB56D5CA1E}"/>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38" xr:uid="{E4D29AA3-5D78-42F7-928A-2E4E74DD9CE7}"/>
    <cellStyle name="Normal 4 2 4 2 4 2 3" xfId="11523" xr:uid="{25749CA3-16BC-4091-A325-20A8C0CA9645}"/>
    <cellStyle name="Normal 4 2 4 2 4 3" xfId="5146" xr:uid="{00000000-0005-0000-0000-00006D130000}"/>
    <cellStyle name="Normal 4 2 4 2 4 3 2" xfId="13593" xr:uid="{F05EC04D-CBE8-4592-A9EE-BEC5D95432B2}"/>
    <cellStyle name="Normal 4 2 4 2 4 4" xfId="9378" xr:uid="{3BA92DF9-ADE1-4360-945A-1BDC64438E40}"/>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1" xr:uid="{1826C195-9122-4BE8-8A4E-E11879B92C56}"/>
    <cellStyle name="Normal 4 2 4 2 5 2 3" xfId="11936" xr:uid="{E90A6DC7-A031-4546-BAB6-F3D2C76E4398}"/>
    <cellStyle name="Normal 4 2 4 2 5 3" xfId="5559" xr:uid="{00000000-0005-0000-0000-000071130000}"/>
    <cellStyle name="Normal 4 2 4 2 5 3 2" xfId="14006" xr:uid="{DFBC2D70-DCB3-4F71-AE0F-C55AB9F2F9F3}"/>
    <cellStyle name="Normal 4 2 4 2 5 4" xfId="9791" xr:uid="{5C60D412-FBFC-4FDD-8167-A6F726D865F7}"/>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4" xr:uid="{822E29AA-89F1-45FA-AF85-4AA1711B46EE}"/>
    <cellStyle name="Normal 4 2 4 2 6 2 3" xfId="12349" xr:uid="{61F05F6E-1E06-4483-81B6-7999E1FAB855}"/>
    <cellStyle name="Normal 4 2 4 2 6 3" xfId="5972" xr:uid="{00000000-0005-0000-0000-000075130000}"/>
    <cellStyle name="Normal 4 2 4 2 6 3 2" xfId="14419" xr:uid="{2F1F2C1C-4130-42F8-B0B3-C17633E6D0BA}"/>
    <cellStyle name="Normal 4 2 4 2 6 4" xfId="10204" xr:uid="{A12BD2D9-74DC-4E98-9A79-61B0C309E223}"/>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77" xr:uid="{79716E0D-BFE1-4B7F-A58C-A03791587CA0}"/>
    <cellStyle name="Normal 4 2 4 2 7 2 3" xfId="12762" xr:uid="{5F2A3D8F-B495-420E-951C-623CEB7353A7}"/>
    <cellStyle name="Normal 4 2 4 2 7 3" xfId="6385" xr:uid="{00000000-0005-0000-0000-000079130000}"/>
    <cellStyle name="Normal 4 2 4 2 7 3 2" xfId="14832" xr:uid="{D89F6999-0899-4F35-8ECE-7FB816A5085B}"/>
    <cellStyle name="Normal 4 2 4 2 7 4" xfId="10617" xr:uid="{2338345F-5449-48B5-B87B-204CD78E40AA}"/>
    <cellStyle name="Normal 4 2 4 2 8" xfId="2515" xr:uid="{00000000-0005-0000-0000-00007A130000}"/>
    <cellStyle name="Normal 4 2 4 2 8 2" xfId="6798" xr:uid="{00000000-0005-0000-0000-00007B130000}"/>
    <cellStyle name="Normal 4 2 4 2 8 2 2" xfId="15245" xr:uid="{4C0FD538-E91C-443D-90CC-1CD753D10F5F}"/>
    <cellStyle name="Normal 4 2 4 2 8 3" xfId="11030" xr:uid="{30135E08-EF00-4763-9117-3BD5BED137DA}"/>
    <cellStyle name="Normal 4 2 4 2 9" xfId="4733" xr:uid="{00000000-0005-0000-0000-00007C130000}"/>
    <cellStyle name="Normal 4 2 4 2 9 2" xfId="13180" xr:uid="{38EDD83E-5357-404B-9896-88732FF50C8A}"/>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3" xr:uid="{6CB0D41F-C419-48E2-ADF8-1126C352D5B8}"/>
    <cellStyle name="Normal 4 2 4 3 2 2 2 3" xfId="11528" xr:uid="{1811D408-2E7A-4A6C-B53B-CCDF4D7BA023}"/>
    <cellStyle name="Normal 4 2 4 3 2 2 3" xfId="5151" xr:uid="{00000000-0005-0000-0000-000082130000}"/>
    <cellStyle name="Normal 4 2 4 3 2 2 3 2" xfId="13598" xr:uid="{D5D22C8B-30EE-44F9-B073-A0B837AEAA33}"/>
    <cellStyle name="Normal 4 2 4 3 2 2 4" xfId="9383" xr:uid="{64CD37FB-8B02-4398-BD18-B9F3E85D1B94}"/>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6" xr:uid="{9F446AB7-8F86-41BF-B4E3-3103AFB1AEEA}"/>
    <cellStyle name="Normal 4 2 4 3 2 3 2 3" xfId="11941" xr:uid="{0A45B57F-2824-4C22-81EA-D46F9CE8EFAF}"/>
    <cellStyle name="Normal 4 2 4 3 2 3 3" xfId="5564" xr:uid="{00000000-0005-0000-0000-000086130000}"/>
    <cellStyle name="Normal 4 2 4 3 2 3 3 2" xfId="14011" xr:uid="{46175C81-5BFF-4562-9EA4-F4EA3CE5E544}"/>
    <cellStyle name="Normal 4 2 4 3 2 3 4" xfId="9796" xr:uid="{882E2CE9-5476-4CE1-9291-371036C05FEF}"/>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69" xr:uid="{2827A1DB-DE57-4D04-BE84-DA1EEC1D96D3}"/>
    <cellStyle name="Normal 4 2 4 3 2 4 2 3" xfId="12354" xr:uid="{B35FDECA-3DA5-4612-A976-3EA63463BAAD}"/>
    <cellStyle name="Normal 4 2 4 3 2 4 3" xfId="5977" xr:uid="{00000000-0005-0000-0000-00008A130000}"/>
    <cellStyle name="Normal 4 2 4 3 2 4 3 2" xfId="14424" xr:uid="{F09873FE-F60C-4E57-9144-CC1F8D20A47D}"/>
    <cellStyle name="Normal 4 2 4 3 2 4 4" xfId="10209" xr:uid="{46C2CE7E-C678-46F2-8F14-8BBF85F1BD7D}"/>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2" xr:uid="{7BC174FA-E2D0-48D7-A861-4E14F82A6C64}"/>
    <cellStyle name="Normal 4 2 4 3 2 5 2 3" xfId="12767" xr:uid="{1DF1A854-0D81-4436-98BD-95C884F600AF}"/>
    <cellStyle name="Normal 4 2 4 3 2 5 3" xfId="6390" xr:uid="{00000000-0005-0000-0000-00008E130000}"/>
    <cellStyle name="Normal 4 2 4 3 2 5 3 2" xfId="14837" xr:uid="{1FEA0F4A-125D-48F4-96F2-2721D48B8059}"/>
    <cellStyle name="Normal 4 2 4 3 2 5 4" xfId="10622" xr:uid="{EE7E6651-5625-478B-AC8A-D5204E95CF1C}"/>
    <cellStyle name="Normal 4 2 4 3 2 6" xfId="2520" xr:uid="{00000000-0005-0000-0000-00008F130000}"/>
    <cellStyle name="Normal 4 2 4 3 2 6 2" xfId="6803" xr:uid="{00000000-0005-0000-0000-000090130000}"/>
    <cellStyle name="Normal 4 2 4 3 2 6 2 2" xfId="15250" xr:uid="{A29AE980-5A19-4971-8E9B-3F9CEC634F14}"/>
    <cellStyle name="Normal 4 2 4 3 2 6 3" xfId="11035" xr:uid="{C71022C3-C693-4302-9AF7-D496F9FBB96F}"/>
    <cellStyle name="Normal 4 2 4 3 2 7" xfId="4738" xr:uid="{00000000-0005-0000-0000-000091130000}"/>
    <cellStyle name="Normal 4 2 4 3 2 7 2" xfId="13185" xr:uid="{C04B86C5-8853-4E42-9A5E-CB11058716D2}"/>
    <cellStyle name="Normal 4 2 4 3 2 8" xfId="8970" xr:uid="{EB373DEF-0EE3-488A-94A3-F54F775C0369}"/>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2" xr:uid="{25D0CE18-B00E-4B06-9C1E-D01F71B2B013}"/>
    <cellStyle name="Normal 4 2 4 3 3 2 3" xfId="11527" xr:uid="{AC2F0F18-4718-4447-81E0-0F088D7C04DD}"/>
    <cellStyle name="Normal 4 2 4 3 3 3" xfId="5150" xr:uid="{00000000-0005-0000-0000-000095130000}"/>
    <cellStyle name="Normal 4 2 4 3 3 3 2" xfId="13597" xr:uid="{BD8DF6BF-A9E9-4229-8FE8-BF0B15F99A51}"/>
    <cellStyle name="Normal 4 2 4 3 3 4" xfId="9382" xr:uid="{320D2125-4050-4348-9682-67436BCB97F0}"/>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5" xr:uid="{989B5CEC-8B67-4177-AEDF-DF19CC0EF07B}"/>
    <cellStyle name="Normal 4 2 4 3 4 2 3" xfId="11940" xr:uid="{3212959C-727F-472F-8584-EAA7E9098E31}"/>
    <cellStyle name="Normal 4 2 4 3 4 3" xfId="5563" xr:uid="{00000000-0005-0000-0000-000099130000}"/>
    <cellStyle name="Normal 4 2 4 3 4 3 2" xfId="14010" xr:uid="{392B0E57-81A0-4D30-A95D-E696415B7503}"/>
    <cellStyle name="Normal 4 2 4 3 4 4" xfId="9795" xr:uid="{05F635B3-D606-4860-B085-D64A642D8BCF}"/>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68" xr:uid="{D7DC07DD-6984-4157-B5AB-211AE793CDA5}"/>
    <cellStyle name="Normal 4 2 4 3 5 2 3" xfId="12353" xr:uid="{99AB4F58-1F5E-4150-8996-85FA7DDC6BCD}"/>
    <cellStyle name="Normal 4 2 4 3 5 3" xfId="5976" xr:uid="{00000000-0005-0000-0000-00009D130000}"/>
    <cellStyle name="Normal 4 2 4 3 5 3 2" xfId="14423" xr:uid="{48965456-3E68-4411-9D00-671BA240909A}"/>
    <cellStyle name="Normal 4 2 4 3 5 4" xfId="10208" xr:uid="{EB8A732C-19F5-42DD-8D17-0F0F497A6679}"/>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1" xr:uid="{680A113A-5438-4013-8392-52FD0C7D2DF8}"/>
    <cellStyle name="Normal 4 2 4 3 6 2 3" xfId="12766" xr:uid="{A0809EF0-5F56-4450-9D31-260ECB6F1E91}"/>
    <cellStyle name="Normal 4 2 4 3 6 3" xfId="6389" xr:uid="{00000000-0005-0000-0000-0000A1130000}"/>
    <cellStyle name="Normal 4 2 4 3 6 3 2" xfId="14836" xr:uid="{ADE12E94-3F1D-4E56-B7A5-9354298E539A}"/>
    <cellStyle name="Normal 4 2 4 3 6 4" xfId="10621" xr:uid="{9376CD6C-8D0A-4209-B830-B80FBF34783F}"/>
    <cellStyle name="Normal 4 2 4 3 7" xfId="2519" xr:uid="{00000000-0005-0000-0000-0000A2130000}"/>
    <cellStyle name="Normal 4 2 4 3 7 2" xfId="6802" xr:uid="{00000000-0005-0000-0000-0000A3130000}"/>
    <cellStyle name="Normal 4 2 4 3 7 2 2" xfId="15249" xr:uid="{FEF0EC6D-8636-4132-AB23-B8C05F516BCF}"/>
    <cellStyle name="Normal 4 2 4 3 7 3" xfId="11034" xr:uid="{BE8AE5FE-689A-4DD8-B65B-E99D30F32342}"/>
    <cellStyle name="Normal 4 2 4 3 8" xfId="4737" xr:uid="{00000000-0005-0000-0000-0000A4130000}"/>
    <cellStyle name="Normal 4 2 4 3 8 2" xfId="13184" xr:uid="{CD5D9906-A6B6-4305-A6F6-79360046D14D}"/>
    <cellStyle name="Normal 4 2 4 3 9" xfId="8969" xr:uid="{CAEC0B60-BE12-495F-A2B6-92881D357182}"/>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4" xr:uid="{4D37CBC7-5426-4B66-9BA4-CEA0A6EBAF67}"/>
    <cellStyle name="Normal 4 2 4 4 2 2 3" xfId="11529" xr:uid="{602D6C57-409F-4782-851E-DF7820A1ECFE}"/>
    <cellStyle name="Normal 4 2 4 4 2 3" xfId="5152" xr:uid="{00000000-0005-0000-0000-0000A9130000}"/>
    <cellStyle name="Normal 4 2 4 4 2 3 2" xfId="13599" xr:uid="{4633E9BB-69B2-422A-B085-BF8F31181B98}"/>
    <cellStyle name="Normal 4 2 4 4 2 4" xfId="9384" xr:uid="{F871B6F4-72C8-4F4C-804E-194F4C7DFBE6}"/>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57" xr:uid="{FF30466A-4F4C-4CB7-9609-26426D97D9C0}"/>
    <cellStyle name="Normal 4 2 4 4 3 2 3" xfId="11942" xr:uid="{979F46A7-B066-42D7-817B-7451F52F00E9}"/>
    <cellStyle name="Normal 4 2 4 4 3 3" xfId="5565" xr:uid="{00000000-0005-0000-0000-0000AD130000}"/>
    <cellStyle name="Normal 4 2 4 4 3 3 2" xfId="14012" xr:uid="{798DEF6A-187D-4FA9-9BBA-E0A8B92A27F2}"/>
    <cellStyle name="Normal 4 2 4 4 3 4" xfId="9797" xr:uid="{6FC7DBA3-889D-4AC9-8665-61A37CC965D4}"/>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0" xr:uid="{8022DC03-819A-4E9A-9C31-9C4CA3C020A4}"/>
    <cellStyle name="Normal 4 2 4 4 4 2 3" xfId="12355" xr:uid="{C13206D5-72D2-431B-80E7-9E5CE1B4D3F8}"/>
    <cellStyle name="Normal 4 2 4 4 4 3" xfId="5978" xr:uid="{00000000-0005-0000-0000-0000B1130000}"/>
    <cellStyle name="Normal 4 2 4 4 4 3 2" xfId="14425" xr:uid="{3A913286-CCB5-43F9-AF7B-BA2F3D75AD0B}"/>
    <cellStyle name="Normal 4 2 4 4 4 4" xfId="10210" xr:uid="{2CF8854A-5DB1-4A07-A2BB-363C3813F4A7}"/>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3" xr:uid="{7D04D195-6C32-4102-944A-CE017809C60F}"/>
    <cellStyle name="Normal 4 2 4 4 5 2 3" xfId="12768" xr:uid="{007460A6-5310-45CD-ADAE-83C84AA17B79}"/>
    <cellStyle name="Normal 4 2 4 4 5 3" xfId="6391" xr:uid="{00000000-0005-0000-0000-0000B5130000}"/>
    <cellStyle name="Normal 4 2 4 4 5 3 2" xfId="14838" xr:uid="{2CA0E0BD-9611-43E1-90D3-29348637BDAE}"/>
    <cellStyle name="Normal 4 2 4 4 5 4" xfId="10623" xr:uid="{9636DB61-779F-4B2D-BE20-79A3A796148B}"/>
    <cellStyle name="Normal 4 2 4 4 6" xfId="2521" xr:uid="{00000000-0005-0000-0000-0000B6130000}"/>
    <cellStyle name="Normal 4 2 4 4 6 2" xfId="6804" xr:uid="{00000000-0005-0000-0000-0000B7130000}"/>
    <cellStyle name="Normal 4 2 4 4 6 2 2" xfId="15251" xr:uid="{9F23123B-63A8-46C0-964F-7115E1CD7747}"/>
    <cellStyle name="Normal 4 2 4 4 6 3" xfId="11036" xr:uid="{CDD5844B-425B-4AEB-8A56-E0861E71C627}"/>
    <cellStyle name="Normal 4 2 4 4 7" xfId="4739" xr:uid="{00000000-0005-0000-0000-0000B8130000}"/>
    <cellStyle name="Normal 4 2 4 4 7 2" xfId="13186" xr:uid="{46DE8B84-9F3B-470D-B282-CBBB5680C4F3}"/>
    <cellStyle name="Normal 4 2 4 4 8" xfId="8971" xr:uid="{88E57C33-F313-49EE-9564-260BDCA00BB9}"/>
    <cellStyle name="Normal 4 2 4 5" xfId="831" xr:uid="{00000000-0005-0000-0000-0000B9130000}"/>
    <cellStyle name="Normal 4 2 4 5 2" xfId="3068" xr:uid="{00000000-0005-0000-0000-0000BA130000}"/>
    <cellStyle name="Normal 4 2 4 5 2 2" xfId="7290" xr:uid="{00000000-0005-0000-0000-0000BB130000}"/>
    <cellStyle name="Normal 4 2 4 5 2 2 2" xfId="15737" xr:uid="{1C0A6F26-884B-4240-8E67-1ECD59F40D8F}"/>
    <cellStyle name="Normal 4 2 4 5 2 3" xfId="11522" xr:uid="{AFAA374A-F003-4004-8286-205D214EC271}"/>
    <cellStyle name="Normal 4 2 4 5 3" xfId="5145" xr:uid="{00000000-0005-0000-0000-0000BC130000}"/>
    <cellStyle name="Normal 4 2 4 5 3 2" xfId="13592" xr:uid="{57F92C41-482E-4800-84F5-6272AED44E07}"/>
    <cellStyle name="Normal 4 2 4 5 4" xfId="9377" xr:uid="{0EEA7A91-7560-4793-B531-F4A36C17A047}"/>
    <cellStyle name="Normal 4 2 4 6" xfId="1251" xr:uid="{00000000-0005-0000-0000-0000BD130000}"/>
    <cellStyle name="Normal 4 2 4 6 2" xfId="3481" xr:uid="{00000000-0005-0000-0000-0000BE130000}"/>
    <cellStyle name="Normal 4 2 4 6 2 2" xfId="7703" xr:uid="{00000000-0005-0000-0000-0000BF130000}"/>
    <cellStyle name="Normal 4 2 4 6 2 2 2" xfId="16150" xr:uid="{1332E402-F076-45E2-B1DE-832846D54E9A}"/>
    <cellStyle name="Normal 4 2 4 6 2 3" xfId="11935" xr:uid="{19A2E94E-5CE0-4BAF-8324-D3853B0484B9}"/>
    <cellStyle name="Normal 4 2 4 6 3" xfId="5558" xr:uid="{00000000-0005-0000-0000-0000C0130000}"/>
    <cellStyle name="Normal 4 2 4 6 3 2" xfId="14005" xr:uid="{67486C09-8A7A-4A19-A8E3-9BE7DA1C218F}"/>
    <cellStyle name="Normal 4 2 4 6 4" xfId="9790" xr:uid="{67EFB1C4-EB54-4403-B49D-CE718AB58929}"/>
    <cellStyle name="Normal 4 2 4 7" xfId="1664" xr:uid="{00000000-0005-0000-0000-0000C1130000}"/>
    <cellStyle name="Normal 4 2 4 7 2" xfId="3894" xr:uid="{00000000-0005-0000-0000-0000C2130000}"/>
    <cellStyle name="Normal 4 2 4 7 2 2" xfId="8116" xr:uid="{00000000-0005-0000-0000-0000C3130000}"/>
    <cellStyle name="Normal 4 2 4 7 2 2 2" xfId="16563" xr:uid="{FFF9D748-3578-40AD-BCCF-4CC38019D042}"/>
    <cellStyle name="Normal 4 2 4 7 2 3" xfId="12348" xr:uid="{38BFE981-CF29-4E32-8AD9-A95DBD5B8F61}"/>
    <cellStyle name="Normal 4 2 4 7 3" xfId="5971" xr:uid="{00000000-0005-0000-0000-0000C4130000}"/>
    <cellStyle name="Normal 4 2 4 7 3 2" xfId="14418" xr:uid="{F70510CB-3F61-40AC-93AD-308A8F6508CB}"/>
    <cellStyle name="Normal 4 2 4 7 4" xfId="10203" xr:uid="{814EAC01-3938-4E8F-9D00-076EBFA7C059}"/>
    <cellStyle name="Normal 4 2 4 8" xfId="2078" xr:uid="{00000000-0005-0000-0000-0000C5130000}"/>
    <cellStyle name="Normal 4 2 4 8 2" xfId="4307" xr:uid="{00000000-0005-0000-0000-0000C6130000}"/>
    <cellStyle name="Normal 4 2 4 8 2 2" xfId="8529" xr:uid="{00000000-0005-0000-0000-0000C7130000}"/>
    <cellStyle name="Normal 4 2 4 8 2 2 2" xfId="16976" xr:uid="{D4562082-BF3E-40FB-B170-9A666ECA8308}"/>
    <cellStyle name="Normal 4 2 4 8 2 3" xfId="12761" xr:uid="{A579B70F-FDA4-4107-8132-3A40A1E5BBC3}"/>
    <cellStyle name="Normal 4 2 4 8 3" xfId="6384" xr:uid="{00000000-0005-0000-0000-0000C8130000}"/>
    <cellStyle name="Normal 4 2 4 8 3 2" xfId="14831" xr:uid="{0FC10F9D-71A1-4987-A4D6-D65E0B3B9ED7}"/>
    <cellStyle name="Normal 4 2 4 8 4" xfId="10616" xr:uid="{83F6CC70-FD82-43B0-BD71-85696D951DCF}"/>
    <cellStyle name="Normal 4 2 4 9" xfId="2514" xr:uid="{00000000-0005-0000-0000-0000C9130000}"/>
    <cellStyle name="Normal 4 2 4 9 2" xfId="6797" xr:uid="{00000000-0005-0000-0000-0000CA130000}"/>
    <cellStyle name="Normal 4 2 4 9 2 2" xfId="15244" xr:uid="{33113EFA-51E6-4189-9ED6-4A59A32AF69C}"/>
    <cellStyle name="Normal 4 2 4 9 3" xfId="11029" xr:uid="{AF9542DE-85A6-4118-BEA3-B91A8F9B7B78}"/>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6" xr:uid="{CBCEDA57-5CE0-4C92-9963-AAEC5E21AF04}"/>
    <cellStyle name="Normal 4 2 5 2 2 2 3" xfId="11531" xr:uid="{598F65E0-0FFF-444E-A687-37AB5128BF52}"/>
    <cellStyle name="Normal 4 2 5 2 2 3" xfId="5154" xr:uid="{00000000-0005-0000-0000-0000D0130000}"/>
    <cellStyle name="Normal 4 2 5 2 2 3 2" xfId="13601" xr:uid="{8C83BA91-61A0-40AB-9834-70684F220D0B}"/>
    <cellStyle name="Normal 4 2 5 2 2 4" xfId="9386" xr:uid="{0107197A-67A4-4D0C-8633-795E47CEC1AC}"/>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59" xr:uid="{D5663ED3-A763-408A-BDC9-E65F47FE4256}"/>
    <cellStyle name="Normal 4 2 5 2 3 2 3" xfId="11944" xr:uid="{A3E604BB-BBA9-426D-BE2C-B1A7A2673D7C}"/>
    <cellStyle name="Normal 4 2 5 2 3 3" xfId="5567" xr:uid="{00000000-0005-0000-0000-0000D4130000}"/>
    <cellStyle name="Normal 4 2 5 2 3 3 2" xfId="14014" xr:uid="{3625B135-BB41-4312-A3F6-B96244B12FFB}"/>
    <cellStyle name="Normal 4 2 5 2 3 4" xfId="9799" xr:uid="{6B5C2CBC-EBC3-4BD0-8F58-D9F166257FE7}"/>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2" xr:uid="{5F8D21D7-B7EB-421F-884D-35A3C6425DEE}"/>
    <cellStyle name="Normal 4 2 5 2 4 2 3" xfId="12357" xr:uid="{3E5F5CC5-0F9C-4C1E-8524-EE359C49029F}"/>
    <cellStyle name="Normal 4 2 5 2 4 3" xfId="5980" xr:uid="{00000000-0005-0000-0000-0000D8130000}"/>
    <cellStyle name="Normal 4 2 5 2 4 3 2" xfId="14427" xr:uid="{0C6C9E73-237E-4A60-A8B4-958CB2A551BB}"/>
    <cellStyle name="Normal 4 2 5 2 4 4" xfId="10212" xr:uid="{014FD85A-3E55-4424-9245-56F6FC7C8F70}"/>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5" xr:uid="{F680AC17-5104-4D5E-9652-241461C33473}"/>
    <cellStyle name="Normal 4 2 5 2 5 2 3" xfId="12770" xr:uid="{3ED4A557-1772-42A3-BB0C-C6B603C651AC}"/>
    <cellStyle name="Normal 4 2 5 2 5 3" xfId="6393" xr:uid="{00000000-0005-0000-0000-0000DC130000}"/>
    <cellStyle name="Normal 4 2 5 2 5 3 2" xfId="14840" xr:uid="{C8B6E18B-4594-4D05-B40D-CA1C0F072350}"/>
    <cellStyle name="Normal 4 2 5 2 5 4" xfId="10625" xr:uid="{747C05D0-DE9F-4D5A-9CED-01D198B6A93E}"/>
    <cellStyle name="Normal 4 2 5 2 6" xfId="2523" xr:uid="{00000000-0005-0000-0000-0000DD130000}"/>
    <cellStyle name="Normal 4 2 5 2 6 2" xfId="6806" xr:uid="{00000000-0005-0000-0000-0000DE130000}"/>
    <cellStyle name="Normal 4 2 5 2 6 2 2" xfId="15253" xr:uid="{AB52A4D2-C1AD-493A-ADBF-C1DAC011FD8A}"/>
    <cellStyle name="Normal 4 2 5 2 6 3" xfId="11038" xr:uid="{683AD7A3-D05C-48B0-AF2E-2FE2D4CD5011}"/>
    <cellStyle name="Normal 4 2 5 2 7" xfId="4741" xr:uid="{00000000-0005-0000-0000-0000DF130000}"/>
    <cellStyle name="Normal 4 2 5 2 7 2" xfId="13188" xr:uid="{103897AD-DC11-428E-8326-A6BAFB21D319}"/>
    <cellStyle name="Normal 4 2 5 2 8" xfId="8973" xr:uid="{AA19AA99-7063-43A6-A2C2-03E49ADF8AFD}"/>
    <cellStyle name="Normal 4 2 5 3" xfId="839" xr:uid="{00000000-0005-0000-0000-0000E0130000}"/>
    <cellStyle name="Normal 4 2 5 3 2" xfId="3076" xr:uid="{00000000-0005-0000-0000-0000E1130000}"/>
    <cellStyle name="Normal 4 2 5 3 2 2" xfId="7298" xr:uid="{00000000-0005-0000-0000-0000E2130000}"/>
    <cellStyle name="Normal 4 2 5 3 2 2 2" xfId="15745" xr:uid="{0DDDAF6A-9227-4196-ACAC-2114D0423227}"/>
    <cellStyle name="Normal 4 2 5 3 2 3" xfId="11530" xr:uid="{7C5FEE07-3EDD-4C05-B480-ED8E68778348}"/>
    <cellStyle name="Normal 4 2 5 3 3" xfId="5153" xr:uid="{00000000-0005-0000-0000-0000E3130000}"/>
    <cellStyle name="Normal 4 2 5 3 3 2" xfId="13600" xr:uid="{69020532-A486-47CF-8BF6-BA3776B5E393}"/>
    <cellStyle name="Normal 4 2 5 3 4" xfId="9385" xr:uid="{3D8CC734-C8F5-4A76-AE8E-FACC65ACA048}"/>
    <cellStyle name="Normal 4 2 5 4" xfId="1259" xr:uid="{00000000-0005-0000-0000-0000E4130000}"/>
    <cellStyle name="Normal 4 2 5 4 2" xfId="3489" xr:uid="{00000000-0005-0000-0000-0000E5130000}"/>
    <cellStyle name="Normal 4 2 5 4 2 2" xfId="7711" xr:uid="{00000000-0005-0000-0000-0000E6130000}"/>
    <cellStyle name="Normal 4 2 5 4 2 2 2" xfId="16158" xr:uid="{647954D1-DCE3-46CB-AD94-F7BAE3169AF7}"/>
    <cellStyle name="Normal 4 2 5 4 2 3" xfId="11943" xr:uid="{7593F66F-D2CB-473C-8486-D2C9CDDA6A32}"/>
    <cellStyle name="Normal 4 2 5 4 3" xfId="5566" xr:uid="{00000000-0005-0000-0000-0000E7130000}"/>
    <cellStyle name="Normal 4 2 5 4 3 2" xfId="14013" xr:uid="{D9F3AFDC-B2D8-4978-989A-2BAEF5E84F1A}"/>
    <cellStyle name="Normal 4 2 5 4 4" xfId="9798" xr:uid="{BE59CF21-DECB-4A7D-AADB-4E140C335074}"/>
    <cellStyle name="Normal 4 2 5 5" xfId="1672" xr:uid="{00000000-0005-0000-0000-0000E8130000}"/>
    <cellStyle name="Normal 4 2 5 5 2" xfId="3902" xr:uid="{00000000-0005-0000-0000-0000E9130000}"/>
    <cellStyle name="Normal 4 2 5 5 2 2" xfId="8124" xr:uid="{00000000-0005-0000-0000-0000EA130000}"/>
    <cellStyle name="Normal 4 2 5 5 2 2 2" xfId="16571" xr:uid="{BD8F8A1B-10E7-41B3-8BE4-1AE9D59B0FDA}"/>
    <cellStyle name="Normal 4 2 5 5 2 3" xfId="12356" xr:uid="{F2164693-A638-4048-BA83-8EDD8D5507FD}"/>
    <cellStyle name="Normal 4 2 5 5 3" xfId="5979" xr:uid="{00000000-0005-0000-0000-0000EB130000}"/>
    <cellStyle name="Normal 4 2 5 5 3 2" xfId="14426" xr:uid="{D8B1F45D-E94A-4814-AE28-CC6E0DFDFC0D}"/>
    <cellStyle name="Normal 4 2 5 5 4" xfId="10211" xr:uid="{32C4728B-6E07-4720-B9E8-523800D3174E}"/>
    <cellStyle name="Normal 4 2 5 6" xfId="2086" xr:uid="{00000000-0005-0000-0000-0000EC130000}"/>
    <cellStyle name="Normal 4 2 5 6 2" xfId="4315" xr:uid="{00000000-0005-0000-0000-0000ED130000}"/>
    <cellStyle name="Normal 4 2 5 6 2 2" xfId="8537" xr:uid="{00000000-0005-0000-0000-0000EE130000}"/>
    <cellStyle name="Normal 4 2 5 6 2 2 2" xfId="16984" xr:uid="{3ACE1A34-C51F-4999-B5B4-F8C0D8C4B4A6}"/>
    <cellStyle name="Normal 4 2 5 6 2 3" xfId="12769" xr:uid="{A9F23C32-5EFC-43DE-9090-0AA15EB31914}"/>
    <cellStyle name="Normal 4 2 5 6 3" xfId="6392" xr:uid="{00000000-0005-0000-0000-0000EF130000}"/>
    <cellStyle name="Normal 4 2 5 6 3 2" xfId="14839" xr:uid="{AB0CCB8E-B7A0-4E18-B8A9-5FB830A356EE}"/>
    <cellStyle name="Normal 4 2 5 6 4" xfId="10624" xr:uid="{005856CD-1A7D-4CF5-984D-B89D4696A87D}"/>
    <cellStyle name="Normal 4 2 5 7" xfId="2522" xr:uid="{00000000-0005-0000-0000-0000F0130000}"/>
    <cellStyle name="Normal 4 2 5 7 2" xfId="6805" xr:uid="{00000000-0005-0000-0000-0000F1130000}"/>
    <cellStyle name="Normal 4 2 5 7 2 2" xfId="15252" xr:uid="{B5D3F010-B8E0-40BC-BF07-75020D9481B1}"/>
    <cellStyle name="Normal 4 2 5 7 3" xfId="11037" xr:uid="{EAF1DDC4-AD39-4BC9-933C-84024CCE61E7}"/>
    <cellStyle name="Normal 4 2 5 8" xfId="4740" xr:uid="{00000000-0005-0000-0000-0000F2130000}"/>
    <cellStyle name="Normal 4 2 5 8 2" xfId="13187" xr:uid="{02B13A03-1092-418E-81A1-F31C42F0E35E}"/>
    <cellStyle name="Normal 4 2 5 9" xfId="8972" xr:uid="{BB20C1C2-11E7-42C6-ACDB-789080FF7597}"/>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47" xr:uid="{EE45EE77-B2C5-4187-8CC9-31C324F425CD}"/>
    <cellStyle name="Normal 4 2 6 2 2 3" xfId="11532" xr:uid="{8BCF8648-17BD-426F-AD8E-8478018B8ABF}"/>
    <cellStyle name="Normal 4 2 6 2 3" xfId="5155" xr:uid="{00000000-0005-0000-0000-0000F7130000}"/>
    <cellStyle name="Normal 4 2 6 2 3 2" xfId="13602" xr:uid="{75D3C56B-3BD2-405D-A228-0F4BF5264A44}"/>
    <cellStyle name="Normal 4 2 6 2 4" xfId="9387" xr:uid="{820CA6B6-1A47-425B-9273-D6144F274039}"/>
    <cellStyle name="Normal 4 2 6 3" xfId="1261" xr:uid="{00000000-0005-0000-0000-0000F8130000}"/>
    <cellStyle name="Normal 4 2 6 3 2" xfId="3491" xr:uid="{00000000-0005-0000-0000-0000F9130000}"/>
    <cellStyle name="Normal 4 2 6 3 2 2" xfId="7713" xr:uid="{00000000-0005-0000-0000-0000FA130000}"/>
    <cellStyle name="Normal 4 2 6 3 2 2 2" xfId="16160" xr:uid="{2EA38458-EA7F-4E8C-B018-0133783D7E57}"/>
    <cellStyle name="Normal 4 2 6 3 2 3" xfId="11945" xr:uid="{F28A593A-FE6F-4A7E-A746-1BA912DAA7CF}"/>
    <cellStyle name="Normal 4 2 6 3 3" xfId="5568" xr:uid="{00000000-0005-0000-0000-0000FB130000}"/>
    <cellStyle name="Normal 4 2 6 3 3 2" xfId="14015" xr:uid="{1819F7BC-C43E-43A1-93AE-84453846AA04}"/>
    <cellStyle name="Normal 4 2 6 3 4" xfId="9800" xr:uid="{1EB3352F-B9CC-47CD-BABD-C8599579322F}"/>
    <cellStyle name="Normal 4 2 6 4" xfId="1674" xr:uid="{00000000-0005-0000-0000-0000FC130000}"/>
    <cellStyle name="Normal 4 2 6 4 2" xfId="3904" xr:uid="{00000000-0005-0000-0000-0000FD130000}"/>
    <cellStyle name="Normal 4 2 6 4 2 2" xfId="8126" xr:uid="{00000000-0005-0000-0000-0000FE130000}"/>
    <cellStyle name="Normal 4 2 6 4 2 2 2" xfId="16573" xr:uid="{5081BEC0-0971-4272-905F-FFA5C8DE7CDD}"/>
    <cellStyle name="Normal 4 2 6 4 2 3" xfId="12358" xr:uid="{14507578-7491-4E3E-B009-A2A9910D9F1A}"/>
    <cellStyle name="Normal 4 2 6 4 3" xfId="5981" xr:uid="{00000000-0005-0000-0000-0000FF130000}"/>
    <cellStyle name="Normal 4 2 6 4 3 2" xfId="14428" xr:uid="{0FB8079F-1928-44E5-8527-CB885E8D0550}"/>
    <cellStyle name="Normal 4 2 6 4 4" xfId="10213" xr:uid="{BDD93D11-1BB7-4485-B577-F0112886EC23}"/>
    <cellStyle name="Normal 4 2 6 5" xfId="2088" xr:uid="{00000000-0005-0000-0000-000000140000}"/>
    <cellStyle name="Normal 4 2 6 5 2" xfId="4317" xr:uid="{00000000-0005-0000-0000-000001140000}"/>
    <cellStyle name="Normal 4 2 6 5 2 2" xfId="8539" xr:uid="{00000000-0005-0000-0000-000002140000}"/>
    <cellStyle name="Normal 4 2 6 5 2 2 2" xfId="16986" xr:uid="{D92B4F56-7EF0-48DC-8BE9-F22C03AB4F00}"/>
    <cellStyle name="Normal 4 2 6 5 2 3" xfId="12771" xr:uid="{1C435CA8-59B3-47EB-BBD7-92E3DD87DF91}"/>
    <cellStyle name="Normal 4 2 6 5 3" xfId="6394" xr:uid="{00000000-0005-0000-0000-000003140000}"/>
    <cellStyle name="Normal 4 2 6 5 3 2" xfId="14841" xr:uid="{19EA93CE-2F58-481B-B5CB-AEEAAD50553B}"/>
    <cellStyle name="Normal 4 2 6 5 4" xfId="10626" xr:uid="{0EF3C771-8C37-4D92-8908-4BB388C3F48D}"/>
    <cellStyle name="Normal 4 2 6 6" xfId="2524" xr:uid="{00000000-0005-0000-0000-000004140000}"/>
    <cellStyle name="Normal 4 2 6 6 2" xfId="6807" xr:uid="{00000000-0005-0000-0000-000005140000}"/>
    <cellStyle name="Normal 4 2 6 6 2 2" xfId="15254" xr:uid="{0E1037CD-5735-44A2-A658-A3D823164E1E}"/>
    <cellStyle name="Normal 4 2 6 6 3" xfId="11039" xr:uid="{B0313F2A-5C7A-441C-863C-0C8B3CE0A637}"/>
    <cellStyle name="Normal 4 2 6 7" xfId="4742" xr:uid="{00000000-0005-0000-0000-000006140000}"/>
    <cellStyle name="Normal 4 2 6 7 2" xfId="13189" xr:uid="{351DDDF2-8FEB-481F-80DC-709D43E1C8C5}"/>
    <cellStyle name="Normal 4 2 6 8" xfId="8974" xr:uid="{E1491DF4-9665-4C3F-9309-597E24971A5D}"/>
    <cellStyle name="Normal 4 3" xfId="366" xr:uid="{00000000-0005-0000-0000-000007140000}"/>
    <cellStyle name="Normal 4 3 10" xfId="8975" xr:uid="{5207B46A-421D-40B9-B88E-4331B5279C3F}"/>
    <cellStyle name="Normal 4 3 2" xfId="367" xr:uid="{00000000-0005-0000-0000-000008140000}"/>
    <cellStyle name="Normal 4 3 2 2" xfId="368" xr:uid="{00000000-0005-0000-0000-000009140000}"/>
    <cellStyle name="Normal 4 3 2 2 2" xfId="369" xr:uid="{00000000-0005-0000-0000-00000A140000}"/>
    <cellStyle name="Normal 4 3 2 2 2 10" xfId="8976" xr:uid="{4480736F-3B79-4DF1-97DB-820DBA92565E}"/>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1" xr:uid="{CAB96035-CEB2-4640-97B4-DC3AB91D8FA1}"/>
    <cellStyle name="Normal 4 3 2 2 2 2 2 2 2 3" xfId="11536" xr:uid="{4B3F7042-2EF1-47F0-A889-56E0E96A9470}"/>
    <cellStyle name="Normal 4 3 2 2 2 2 2 2 3" xfId="5159" xr:uid="{00000000-0005-0000-0000-000010140000}"/>
    <cellStyle name="Normal 4 3 2 2 2 2 2 2 3 2" xfId="13606" xr:uid="{62336EFC-E6C7-4307-9089-9C2EFE3449A2}"/>
    <cellStyle name="Normal 4 3 2 2 2 2 2 2 4" xfId="9391" xr:uid="{DEB8EB59-4E4E-4488-A239-79BE1F7A97F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4" xr:uid="{28B0DA78-6400-493C-A53D-BAD2F5FED2CA}"/>
    <cellStyle name="Normal 4 3 2 2 2 2 2 3 2 3" xfId="11949" xr:uid="{B869240D-E97E-4FC2-A17D-32C20A01A802}"/>
    <cellStyle name="Normal 4 3 2 2 2 2 2 3 3" xfId="5572" xr:uid="{00000000-0005-0000-0000-000014140000}"/>
    <cellStyle name="Normal 4 3 2 2 2 2 2 3 3 2" xfId="14019" xr:uid="{8FE3804B-B4CC-4021-830B-3860A955C6FE}"/>
    <cellStyle name="Normal 4 3 2 2 2 2 2 3 4" xfId="9804" xr:uid="{95FA89AA-5FFD-4600-BAF7-E1D2AE3947F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77" xr:uid="{87945607-0F79-4974-BED2-EBB0109FA93A}"/>
    <cellStyle name="Normal 4 3 2 2 2 2 2 4 2 3" xfId="12362" xr:uid="{443FC05E-E95E-4884-914C-B0F6F865CA81}"/>
    <cellStyle name="Normal 4 3 2 2 2 2 2 4 3" xfId="5985" xr:uid="{00000000-0005-0000-0000-000018140000}"/>
    <cellStyle name="Normal 4 3 2 2 2 2 2 4 3 2" xfId="14432" xr:uid="{018BF7DD-B7B2-4318-A7D1-F37A556839BD}"/>
    <cellStyle name="Normal 4 3 2 2 2 2 2 4 4" xfId="10217" xr:uid="{BAE31260-81E0-4A43-ADD6-C4CD8A801048}"/>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0" xr:uid="{042E19AA-2630-4E51-8412-900BBAAAD2B1}"/>
    <cellStyle name="Normal 4 3 2 2 2 2 2 5 2 3" xfId="12775" xr:uid="{B2594F9D-369D-466E-8A83-C996F01B7DE7}"/>
    <cellStyle name="Normal 4 3 2 2 2 2 2 5 3" xfId="6398" xr:uid="{00000000-0005-0000-0000-00001C140000}"/>
    <cellStyle name="Normal 4 3 2 2 2 2 2 5 3 2" xfId="14845" xr:uid="{BBB867E5-204A-4C0E-9E1D-55BBB4746CE2}"/>
    <cellStyle name="Normal 4 3 2 2 2 2 2 5 4" xfId="10630" xr:uid="{997D5D20-B708-4516-9EA1-466913CB0B71}"/>
    <cellStyle name="Normal 4 3 2 2 2 2 2 6" xfId="2528" xr:uid="{00000000-0005-0000-0000-00001D140000}"/>
    <cellStyle name="Normal 4 3 2 2 2 2 2 6 2" xfId="6811" xr:uid="{00000000-0005-0000-0000-00001E140000}"/>
    <cellStyle name="Normal 4 3 2 2 2 2 2 6 2 2" xfId="15258" xr:uid="{5FFDAE6D-6032-4822-91FC-4339FC073FFE}"/>
    <cellStyle name="Normal 4 3 2 2 2 2 2 6 3" xfId="11043" xr:uid="{21EAB707-0E37-4FB4-8EE9-9D5A58A584DC}"/>
    <cellStyle name="Normal 4 3 2 2 2 2 2 7" xfId="4746" xr:uid="{00000000-0005-0000-0000-00001F140000}"/>
    <cellStyle name="Normal 4 3 2 2 2 2 2 7 2" xfId="13193" xr:uid="{780AB658-7351-4936-BD16-7B49C8029486}"/>
    <cellStyle name="Normal 4 3 2 2 2 2 2 8" xfId="8978" xr:uid="{E69B9912-427E-44DC-B23F-AF7EAB0DE4AC}"/>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0" xr:uid="{6DA37AAD-8216-45A7-8DD9-93A7A5A3434B}"/>
    <cellStyle name="Normal 4 3 2 2 2 2 3 2 3" xfId="11535" xr:uid="{E038507D-7984-41FD-97C3-A0D42ED4080B}"/>
    <cellStyle name="Normal 4 3 2 2 2 2 3 3" xfId="5158" xr:uid="{00000000-0005-0000-0000-000023140000}"/>
    <cellStyle name="Normal 4 3 2 2 2 2 3 3 2" xfId="13605" xr:uid="{0BC5180C-1BE5-42C8-8D88-1E2366D94020}"/>
    <cellStyle name="Normal 4 3 2 2 2 2 3 4" xfId="9390" xr:uid="{281BB9EB-FD58-45DF-86F0-27CE21A28FDE}"/>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3" xr:uid="{2206B883-4C99-4BC9-A9EB-3550C9E5913E}"/>
    <cellStyle name="Normal 4 3 2 2 2 2 4 2 3" xfId="11948" xr:uid="{B83BF1A0-C90E-4A7E-B1E8-E3350D9C03D9}"/>
    <cellStyle name="Normal 4 3 2 2 2 2 4 3" xfId="5571" xr:uid="{00000000-0005-0000-0000-000027140000}"/>
    <cellStyle name="Normal 4 3 2 2 2 2 4 3 2" xfId="14018" xr:uid="{C36D5513-24F5-484F-83F1-D18484BC1276}"/>
    <cellStyle name="Normal 4 3 2 2 2 2 4 4" xfId="9803" xr:uid="{6704429E-FC45-4E08-90F7-39982FCDB5FB}"/>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6" xr:uid="{1D8B2BC0-B202-4CDF-8AEC-4C5EE9192961}"/>
    <cellStyle name="Normal 4 3 2 2 2 2 5 2 3" xfId="12361" xr:uid="{73CA01DD-1CF8-48D1-8214-C0197B1ABDF9}"/>
    <cellStyle name="Normal 4 3 2 2 2 2 5 3" xfId="5984" xr:uid="{00000000-0005-0000-0000-00002B140000}"/>
    <cellStyle name="Normal 4 3 2 2 2 2 5 3 2" xfId="14431" xr:uid="{7A622115-8EA6-48D2-9A6E-58593E679908}"/>
    <cellStyle name="Normal 4 3 2 2 2 2 5 4" xfId="10216" xr:uid="{FA949F0F-CFE4-477B-B49D-7378F0011E85}"/>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89" xr:uid="{A998C2AF-3CEE-4D60-9CCF-D64E41382EA7}"/>
    <cellStyle name="Normal 4 3 2 2 2 2 6 2 3" xfId="12774" xr:uid="{D18F71EB-5F9B-4BB1-AA5B-5E60A51DF89D}"/>
    <cellStyle name="Normal 4 3 2 2 2 2 6 3" xfId="6397" xr:uid="{00000000-0005-0000-0000-00002F140000}"/>
    <cellStyle name="Normal 4 3 2 2 2 2 6 3 2" xfId="14844" xr:uid="{C0C7A1DE-B922-40F8-BED1-6AB04F6F0BD4}"/>
    <cellStyle name="Normal 4 3 2 2 2 2 6 4" xfId="10629" xr:uid="{CC1E4E20-20B0-44B8-9640-EE01AE782C30}"/>
    <cellStyle name="Normal 4 3 2 2 2 2 7" xfId="2527" xr:uid="{00000000-0005-0000-0000-000030140000}"/>
    <cellStyle name="Normal 4 3 2 2 2 2 7 2" xfId="6810" xr:uid="{00000000-0005-0000-0000-000031140000}"/>
    <cellStyle name="Normal 4 3 2 2 2 2 7 2 2" xfId="15257" xr:uid="{E4350B5B-1516-4D0D-A579-1DF8F0F03823}"/>
    <cellStyle name="Normal 4 3 2 2 2 2 7 3" xfId="11042" xr:uid="{044FE9BA-2D27-45F2-9CBA-F29E8A800313}"/>
    <cellStyle name="Normal 4 3 2 2 2 2 8" xfId="4745" xr:uid="{00000000-0005-0000-0000-000032140000}"/>
    <cellStyle name="Normal 4 3 2 2 2 2 8 2" xfId="13192" xr:uid="{9B40FEAD-AB66-4449-BA68-C0A88424F78C}"/>
    <cellStyle name="Normal 4 3 2 2 2 2 9" xfId="8977" xr:uid="{F6CB1CA5-297B-4D8D-8D4E-D713D0921EF3}"/>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2" xr:uid="{8BEAD74B-1FCD-4F01-A5F6-BBD81F652065}"/>
    <cellStyle name="Normal 4 3 2 2 2 3 2 2 3" xfId="11537" xr:uid="{A88BFB7D-97DF-48FD-B7AB-633DE0D0BDE6}"/>
    <cellStyle name="Normal 4 3 2 2 2 3 2 3" xfId="5160" xr:uid="{00000000-0005-0000-0000-000037140000}"/>
    <cellStyle name="Normal 4 3 2 2 2 3 2 3 2" xfId="13607" xr:uid="{8DBFE72F-3558-4E62-BB83-EDDE7246EDDA}"/>
    <cellStyle name="Normal 4 3 2 2 2 3 2 4" xfId="9392" xr:uid="{1A30D248-792F-4100-BE83-D1BD5FE9260D}"/>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5" xr:uid="{2361BF54-C749-4677-B21A-3B2FC3E42571}"/>
    <cellStyle name="Normal 4 3 2 2 2 3 3 2 3" xfId="11950" xr:uid="{BAB1B789-C59E-4B21-8357-A04DD6BF0BEB}"/>
    <cellStyle name="Normal 4 3 2 2 2 3 3 3" xfId="5573" xr:uid="{00000000-0005-0000-0000-00003B140000}"/>
    <cellStyle name="Normal 4 3 2 2 2 3 3 3 2" xfId="14020" xr:uid="{34C4340A-8F8A-4209-B69D-5AD516F6D36E}"/>
    <cellStyle name="Normal 4 3 2 2 2 3 3 4" xfId="9805" xr:uid="{4C038104-BB5A-4285-92D1-F5734FCBCA0E}"/>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78" xr:uid="{882DA4DE-FBA3-4A12-95F3-63EDDA58BA58}"/>
    <cellStyle name="Normal 4 3 2 2 2 3 4 2 3" xfId="12363" xr:uid="{B096624C-5DE2-4D92-B6C4-6CC7DE993C3A}"/>
    <cellStyle name="Normal 4 3 2 2 2 3 4 3" xfId="5986" xr:uid="{00000000-0005-0000-0000-00003F140000}"/>
    <cellStyle name="Normal 4 3 2 2 2 3 4 3 2" xfId="14433" xr:uid="{73C8C10C-88D2-4A54-9E87-A7EE1BF1F1D2}"/>
    <cellStyle name="Normal 4 3 2 2 2 3 4 4" xfId="10218" xr:uid="{45A71F30-244D-4C0D-9620-9C3682D4F601}"/>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1" xr:uid="{7BD1D16D-D94E-4BD3-B50B-AE1D1B712DA7}"/>
    <cellStyle name="Normal 4 3 2 2 2 3 5 2 3" xfId="12776" xr:uid="{95702FE9-9FCE-4B5E-AB2B-21D8123578AE}"/>
    <cellStyle name="Normal 4 3 2 2 2 3 5 3" xfId="6399" xr:uid="{00000000-0005-0000-0000-000043140000}"/>
    <cellStyle name="Normal 4 3 2 2 2 3 5 3 2" xfId="14846" xr:uid="{4A3F2A72-F8D6-473C-984A-F11EF77272BD}"/>
    <cellStyle name="Normal 4 3 2 2 2 3 5 4" xfId="10631" xr:uid="{00405E9D-730A-429A-862B-60997E52E619}"/>
    <cellStyle name="Normal 4 3 2 2 2 3 6" xfId="2529" xr:uid="{00000000-0005-0000-0000-000044140000}"/>
    <cellStyle name="Normal 4 3 2 2 2 3 6 2" xfId="6812" xr:uid="{00000000-0005-0000-0000-000045140000}"/>
    <cellStyle name="Normal 4 3 2 2 2 3 6 2 2" xfId="15259" xr:uid="{15576BB5-557C-41DF-9EDA-7AD578FD5241}"/>
    <cellStyle name="Normal 4 3 2 2 2 3 6 3" xfId="11044" xr:uid="{A7DA3637-3F82-48F9-BCCE-4F5C8127FB4F}"/>
    <cellStyle name="Normal 4 3 2 2 2 3 7" xfId="4747" xr:uid="{00000000-0005-0000-0000-000046140000}"/>
    <cellStyle name="Normal 4 3 2 2 2 3 7 2" xfId="13194" xr:uid="{0AE120F1-1C32-4122-8608-FA6F23052689}"/>
    <cellStyle name="Normal 4 3 2 2 2 3 8" xfId="8979" xr:uid="{359D44E5-7602-4757-92F7-C614E7772429}"/>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49" xr:uid="{EB677F2B-C89A-4DAD-A0FC-F8532BCBEEFB}"/>
    <cellStyle name="Normal 4 3 2 2 2 4 2 3" xfId="11534" xr:uid="{94F77E0E-8B10-4CEE-B2D1-31270E356F20}"/>
    <cellStyle name="Normal 4 3 2 2 2 4 3" xfId="5157" xr:uid="{00000000-0005-0000-0000-00004A140000}"/>
    <cellStyle name="Normal 4 3 2 2 2 4 3 2" xfId="13604" xr:uid="{541263A4-92D1-49F9-B3A6-741264E43C02}"/>
    <cellStyle name="Normal 4 3 2 2 2 4 4" xfId="9389" xr:uid="{429EE4CC-8060-43F3-A366-6897D0AE157D}"/>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2" xr:uid="{7C722A01-876C-4A9E-9E94-42F77331F3D4}"/>
    <cellStyle name="Normal 4 3 2 2 2 5 2 3" xfId="11947" xr:uid="{91ED9805-E8D1-406A-AB40-A489CEC59CDF}"/>
    <cellStyle name="Normal 4 3 2 2 2 5 3" xfId="5570" xr:uid="{00000000-0005-0000-0000-00004E140000}"/>
    <cellStyle name="Normal 4 3 2 2 2 5 3 2" xfId="14017" xr:uid="{214815D0-D2D1-4A5A-BCC0-C462F72DB0B5}"/>
    <cellStyle name="Normal 4 3 2 2 2 5 4" xfId="9802" xr:uid="{C9EAF1DD-3B19-49F3-B19B-EBBF98A12ACE}"/>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5" xr:uid="{D7108DEA-1716-4DC9-89AA-50957E327D1E}"/>
    <cellStyle name="Normal 4 3 2 2 2 6 2 3" xfId="12360" xr:uid="{D1ADE305-661B-4428-8B05-31E3DF829433}"/>
    <cellStyle name="Normal 4 3 2 2 2 6 3" xfId="5983" xr:uid="{00000000-0005-0000-0000-000052140000}"/>
    <cellStyle name="Normal 4 3 2 2 2 6 3 2" xfId="14430" xr:uid="{395FCE68-BA39-4A4E-9F07-AF866CBD15AF}"/>
    <cellStyle name="Normal 4 3 2 2 2 6 4" xfId="10215" xr:uid="{0478E275-4620-4E94-B2AD-A454170F60CD}"/>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88" xr:uid="{274A1730-637F-400E-8AD9-DA6CA430B6E2}"/>
    <cellStyle name="Normal 4 3 2 2 2 7 2 3" xfId="12773" xr:uid="{4F916D74-24A7-4FCB-B201-7AD5814A845F}"/>
    <cellStyle name="Normal 4 3 2 2 2 7 3" xfId="6396" xr:uid="{00000000-0005-0000-0000-000056140000}"/>
    <cellStyle name="Normal 4 3 2 2 2 7 3 2" xfId="14843" xr:uid="{0127FEDA-7871-4F2E-8221-81F7FB714D1F}"/>
    <cellStyle name="Normal 4 3 2 2 2 7 4" xfId="10628" xr:uid="{C7439E6A-133B-455E-8801-DD4B18EDE074}"/>
    <cellStyle name="Normal 4 3 2 2 2 8" xfId="2526" xr:uid="{00000000-0005-0000-0000-000057140000}"/>
    <cellStyle name="Normal 4 3 2 2 2 8 2" xfId="6809" xr:uid="{00000000-0005-0000-0000-000058140000}"/>
    <cellStyle name="Normal 4 3 2 2 2 8 2 2" xfId="15256" xr:uid="{36847AF0-6397-46F7-A3E1-9B8F69B9BB85}"/>
    <cellStyle name="Normal 4 3 2 2 2 8 3" xfId="11041" xr:uid="{807EEA6A-E598-466B-A0C3-4EA9646D4E5A}"/>
    <cellStyle name="Normal 4 3 2 2 2 9" xfId="4744" xr:uid="{00000000-0005-0000-0000-000059140000}"/>
    <cellStyle name="Normal 4 3 2 2 2 9 2" xfId="13191" xr:uid="{013FCB39-6DD2-44C2-8F31-33DBAB056A84}"/>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D206E55B-7F6D-4C1B-AA3F-3003FB92F006}"/>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5" xr:uid="{9BDC0C46-35A8-4D13-A7CE-9EF8FCA130CB}"/>
    <cellStyle name="Normal 4 3 3 2 2 2 2 3" xfId="11540" xr:uid="{332E9D9C-6063-4693-84CF-1CA4828C3DE4}"/>
    <cellStyle name="Normal 4 3 3 2 2 2 3" xfId="5163" xr:uid="{00000000-0005-0000-0000-000063140000}"/>
    <cellStyle name="Normal 4 3 3 2 2 2 3 2" xfId="13610" xr:uid="{C7FD7192-94E0-4216-ADD2-CBCD5ED6E1F1}"/>
    <cellStyle name="Normal 4 3 3 2 2 2 4" xfId="9395" xr:uid="{4943DEC7-DED6-448A-8453-35CC7E61E14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68" xr:uid="{79776565-1370-41F2-8BD1-5983C30B5416}"/>
    <cellStyle name="Normal 4 3 3 2 2 3 2 3" xfId="11953" xr:uid="{D3AB6524-0026-493C-AA09-890AD32FE519}"/>
    <cellStyle name="Normal 4 3 3 2 2 3 3" xfId="5576" xr:uid="{00000000-0005-0000-0000-000067140000}"/>
    <cellStyle name="Normal 4 3 3 2 2 3 3 2" xfId="14023" xr:uid="{A2792394-88C9-4871-8C9C-863FCE414873}"/>
    <cellStyle name="Normal 4 3 3 2 2 3 4" xfId="9808" xr:uid="{15FC2DAB-7BFF-4B99-8F60-E604AAFD83A8}"/>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1" xr:uid="{F8C0CFDF-E6B7-4DCF-973D-9EF4C4AC4386}"/>
    <cellStyle name="Normal 4 3 3 2 2 4 2 3" xfId="12366" xr:uid="{953D3D64-D269-4653-8601-CC7EF87E6285}"/>
    <cellStyle name="Normal 4 3 3 2 2 4 3" xfId="5989" xr:uid="{00000000-0005-0000-0000-00006B140000}"/>
    <cellStyle name="Normal 4 3 3 2 2 4 3 2" xfId="14436" xr:uid="{D45DD493-DA74-491A-B3B8-D75767B748E4}"/>
    <cellStyle name="Normal 4 3 3 2 2 4 4" xfId="10221" xr:uid="{C883FC85-9AF6-4778-8F9D-75C7CB3E01D4}"/>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4" xr:uid="{436C31D1-350B-43B0-A77E-DB4D3BF89481}"/>
    <cellStyle name="Normal 4 3 3 2 2 5 2 3" xfId="12779" xr:uid="{3EFAFECB-F143-44D8-8EB8-78E93EB7DA30}"/>
    <cellStyle name="Normal 4 3 3 2 2 5 3" xfId="6402" xr:uid="{00000000-0005-0000-0000-00006F140000}"/>
    <cellStyle name="Normal 4 3 3 2 2 5 3 2" xfId="14849" xr:uid="{13550F66-DF5C-46A2-8198-2619A8A1E6AE}"/>
    <cellStyle name="Normal 4 3 3 2 2 5 4" xfId="10634" xr:uid="{E37B57D4-846A-4247-8522-9CF12CA076DE}"/>
    <cellStyle name="Normal 4 3 3 2 2 6" xfId="2532" xr:uid="{00000000-0005-0000-0000-000070140000}"/>
    <cellStyle name="Normal 4 3 3 2 2 6 2" xfId="6815" xr:uid="{00000000-0005-0000-0000-000071140000}"/>
    <cellStyle name="Normal 4 3 3 2 2 6 2 2" xfId="15262" xr:uid="{882DEF11-6B26-4626-BEE5-4702736DCEA7}"/>
    <cellStyle name="Normal 4 3 3 2 2 6 3" xfId="11047" xr:uid="{F669479C-7472-4989-9027-15B37708BE99}"/>
    <cellStyle name="Normal 4 3 3 2 2 7" xfId="4750" xr:uid="{00000000-0005-0000-0000-000072140000}"/>
    <cellStyle name="Normal 4 3 3 2 2 7 2" xfId="13197" xr:uid="{E2B0D3CC-8F5C-4401-A7D0-6ACDC1AAE8CF}"/>
    <cellStyle name="Normal 4 3 3 2 2 8" xfId="8982" xr:uid="{4733E84E-0CBE-404D-BFE3-0B5CBD0CF667}"/>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4" xr:uid="{FEFC37A0-FB83-4E1C-BA2A-9023BDD4C790}"/>
    <cellStyle name="Normal 4 3 3 2 3 2 3" xfId="11539" xr:uid="{B652CF3B-6834-4E9B-8C7E-E1B603982BC1}"/>
    <cellStyle name="Normal 4 3 3 2 3 3" xfId="5162" xr:uid="{00000000-0005-0000-0000-000076140000}"/>
    <cellStyle name="Normal 4 3 3 2 3 3 2" xfId="13609" xr:uid="{4C8EE2CF-90C1-4C2C-9375-AF910F21B78F}"/>
    <cellStyle name="Normal 4 3 3 2 3 4" xfId="9394" xr:uid="{CF9382D3-8A82-4C38-B9DA-BA78B4E05E21}"/>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67" xr:uid="{F4B3BF45-0585-4085-A751-3B205F73ECE4}"/>
    <cellStyle name="Normal 4 3 3 2 4 2 3" xfId="11952" xr:uid="{5CCC2686-0262-44E2-AAD3-925E9C72CA3D}"/>
    <cellStyle name="Normal 4 3 3 2 4 3" xfId="5575" xr:uid="{00000000-0005-0000-0000-00007A140000}"/>
    <cellStyle name="Normal 4 3 3 2 4 3 2" xfId="14022" xr:uid="{2D84A3CD-93F2-4E0A-B079-5B8C0B97190F}"/>
    <cellStyle name="Normal 4 3 3 2 4 4" xfId="9807" xr:uid="{970C670F-0CCB-4B96-8B87-48070F825DD5}"/>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0" xr:uid="{1CF94721-3F4C-42D6-B1D5-AF74336D0070}"/>
    <cellStyle name="Normal 4 3 3 2 5 2 3" xfId="12365" xr:uid="{9928E9DC-6683-48FD-A7AB-9D9526E38245}"/>
    <cellStyle name="Normal 4 3 3 2 5 3" xfId="5988" xr:uid="{00000000-0005-0000-0000-00007E140000}"/>
    <cellStyle name="Normal 4 3 3 2 5 3 2" xfId="14435" xr:uid="{18AB5120-33A7-48A6-9626-6ACF19FCE486}"/>
    <cellStyle name="Normal 4 3 3 2 5 4" xfId="10220" xr:uid="{4B441FF5-779B-4859-BCD3-9E745FAD40B6}"/>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3" xr:uid="{08FC0442-C930-48C8-8B79-1C6596787039}"/>
    <cellStyle name="Normal 4 3 3 2 6 2 3" xfId="12778" xr:uid="{30E3D9C9-A00B-4BD3-AED1-CA78E431FE96}"/>
    <cellStyle name="Normal 4 3 3 2 6 3" xfId="6401" xr:uid="{00000000-0005-0000-0000-000082140000}"/>
    <cellStyle name="Normal 4 3 3 2 6 3 2" xfId="14848" xr:uid="{43F53702-10DB-4CCE-B1A8-8B8F1457E521}"/>
    <cellStyle name="Normal 4 3 3 2 6 4" xfId="10633" xr:uid="{57C7533D-FD0D-473E-9413-45CA0C335E46}"/>
    <cellStyle name="Normal 4 3 3 2 7" xfId="2531" xr:uid="{00000000-0005-0000-0000-000083140000}"/>
    <cellStyle name="Normal 4 3 3 2 7 2" xfId="6814" xr:uid="{00000000-0005-0000-0000-000084140000}"/>
    <cellStyle name="Normal 4 3 3 2 7 2 2" xfId="15261" xr:uid="{E1E7A19E-6B7B-41FC-9298-F4832FC68699}"/>
    <cellStyle name="Normal 4 3 3 2 7 3" xfId="11046" xr:uid="{EB31760B-EB9A-4755-84D0-18D1839054A3}"/>
    <cellStyle name="Normal 4 3 3 2 8" xfId="4749" xr:uid="{00000000-0005-0000-0000-000085140000}"/>
    <cellStyle name="Normal 4 3 3 2 8 2" xfId="13196" xr:uid="{1EF2045D-EF94-4398-AEC5-86F0A977C2AB}"/>
    <cellStyle name="Normal 4 3 3 2 9" xfId="8981" xr:uid="{971B51C2-627F-41A2-8FAF-F9691CBB49A6}"/>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6" xr:uid="{83CEB765-3EC6-41FE-A077-D638F096FEF7}"/>
    <cellStyle name="Normal 4 3 3 3 2 2 3" xfId="11541" xr:uid="{C1BB2778-853B-465E-B39C-441C6921337C}"/>
    <cellStyle name="Normal 4 3 3 3 2 3" xfId="5164" xr:uid="{00000000-0005-0000-0000-00008A140000}"/>
    <cellStyle name="Normal 4 3 3 3 2 3 2" xfId="13611" xr:uid="{D3A73F32-4804-4E83-92DD-2344EF7317F1}"/>
    <cellStyle name="Normal 4 3 3 3 2 4" xfId="9396" xr:uid="{64F690B8-3275-4273-A546-08443F451EA5}"/>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69" xr:uid="{BF33284A-1494-40DF-8179-27A18A0AF9BC}"/>
    <cellStyle name="Normal 4 3 3 3 3 2 3" xfId="11954" xr:uid="{C6BCA02D-9116-4C66-A144-1492B72364B3}"/>
    <cellStyle name="Normal 4 3 3 3 3 3" xfId="5577" xr:uid="{00000000-0005-0000-0000-00008E140000}"/>
    <cellStyle name="Normal 4 3 3 3 3 3 2" xfId="14024" xr:uid="{5591D8CC-53C8-4390-AB0D-60B29C39C9C9}"/>
    <cellStyle name="Normal 4 3 3 3 3 4" xfId="9809" xr:uid="{5B1934C0-43BB-4075-A0B5-D4B7E3FB705C}"/>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2" xr:uid="{3A35990A-1B4C-4079-98FF-2234C1DCCF7F}"/>
    <cellStyle name="Normal 4 3 3 3 4 2 3" xfId="12367" xr:uid="{304E7AC7-74BD-45E6-AFDB-700352AA78B1}"/>
    <cellStyle name="Normal 4 3 3 3 4 3" xfId="5990" xr:uid="{00000000-0005-0000-0000-000092140000}"/>
    <cellStyle name="Normal 4 3 3 3 4 3 2" xfId="14437" xr:uid="{5D5EC49B-4B3D-47B0-AAEC-0F452E7B76C0}"/>
    <cellStyle name="Normal 4 3 3 3 4 4" xfId="10222" xr:uid="{7C2BA5CD-CFDB-419E-A11C-3DFCE98B8D43}"/>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5" xr:uid="{F549EC92-06D5-4A01-B08D-40B366EBF773}"/>
    <cellStyle name="Normal 4 3 3 3 5 2 3" xfId="12780" xr:uid="{645ABC23-9D3E-4E0F-8202-67E9AF19D53A}"/>
    <cellStyle name="Normal 4 3 3 3 5 3" xfId="6403" xr:uid="{00000000-0005-0000-0000-000096140000}"/>
    <cellStyle name="Normal 4 3 3 3 5 3 2" xfId="14850" xr:uid="{A7324587-8D23-4702-916F-1E57C3FC2D17}"/>
    <cellStyle name="Normal 4 3 3 3 5 4" xfId="10635" xr:uid="{CB98B1D8-AB6B-4847-9E2E-71ECB8121DDE}"/>
    <cellStyle name="Normal 4 3 3 3 6" xfId="2533" xr:uid="{00000000-0005-0000-0000-000097140000}"/>
    <cellStyle name="Normal 4 3 3 3 6 2" xfId="6816" xr:uid="{00000000-0005-0000-0000-000098140000}"/>
    <cellStyle name="Normal 4 3 3 3 6 2 2" xfId="15263" xr:uid="{2CE7E9EC-36D0-4412-9F5D-1D90D7106A51}"/>
    <cellStyle name="Normal 4 3 3 3 6 3" xfId="11048" xr:uid="{C6186CFD-32D5-4F48-9E30-02FC1D8F67B5}"/>
    <cellStyle name="Normal 4 3 3 3 7" xfId="4751" xr:uid="{00000000-0005-0000-0000-000099140000}"/>
    <cellStyle name="Normal 4 3 3 3 7 2" xfId="13198" xr:uid="{18524ACC-47A7-40EC-96DC-19C45A82CAE8}"/>
    <cellStyle name="Normal 4 3 3 3 8" xfId="8983" xr:uid="{1B369BDC-047D-4BBE-AB52-DC95A02A5941}"/>
    <cellStyle name="Normal 4 3 3 4" xfId="849" xr:uid="{00000000-0005-0000-0000-00009A140000}"/>
    <cellStyle name="Normal 4 3 3 4 2" xfId="3084" xr:uid="{00000000-0005-0000-0000-00009B140000}"/>
    <cellStyle name="Normal 4 3 3 4 2 2" xfId="7306" xr:uid="{00000000-0005-0000-0000-00009C140000}"/>
    <cellStyle name="Normal 4 3 3 4 2 2 2" xfId="15753" xr:uid="{2EF363F7-B815-49D2-9D84-E4D7FCFAE523}"/>
    <cellStyle name="Normal 4 3 3 4 2 3" xfId="11538" xr:uid="{8DA3C7EF-7EAC-454F-AEFE-F5F7E68D9CE9}"/>
    <cellStyle name="Normal 4 3 3 4 3" xfId="5161" xr:uid="{00000000-0005-0000-0000-00009D140000}"/>
    <cellStyle name="Normal 4 3 3 4 3 2" xfId="13608" xr:uid="{A08757BD-30F9-4842-980D-548D518B198E}"/>
    <cellStyle name="Normal 4 3 3 4 4" xfId="9393" xr:uid="{54F7D7CD-A1A8-43D0-BFB6-E636BCA7D5D9}"/>
    <cellStyle name="Normal 4 3 3 5" xfId="1267" xr:uid="{00000000-0005-0000-0000-00009E140000}"/>
    <cellStyle name="Normal 4 3 3 5 2" xfId="3497" xr:uid="{00000000-0005-0000-0000-00009F140000}"/>
    <cellStyle name="Normal 4 3 3 5 2 2" xfId="7719" xr:uid="{00000000-0005-0000-0000-0000A0140000}"/>
    <cellStyle name="Normal 4 3 3 5 2 2 2" xfId="16166" xr:uid="{8479BAB4-EDCD-41EB-ABC2-B476E47BB5BD}"/>
    <cellStyle name="Normal 4 3 3 5 2 3" xfId="11951" xr:uid="{CBAA1527-0599-4BA1-80F6-FF88E1443FAD}"/>
    <cellStyle name="Normal 4 3 3 5 3" xfId="5574" xr:uid="{00000000-0005-0000-0000-0000A1140000}"/>
    <cellStyle name="Normal 4 3 3 5 3 2" xfId="14021" xr:uid="{E87AC0E6-A9DC-4C20-BE24-41DE2EA0387F}"/>
    <cellStyle name="Normal 4 3 3 5 4" xfId="9806" xr:uid="{1213CBF4-8B8C-4719-975A-1841C9BE33A3}"/>
    <cellStyle name="Normal 4 3 3 6" xfId="1680" xr:uid="{00000000-0005-0000-0000-0000A2140000}"/>
    <cellStyle name="Normal 4 3 3 6 2" xfId="3910" xr:uid="{00000000-0005-0000-0000-0000A3140000}"/>
    <cellStyle name="Normal 4 3 3 6 2 2" xfId="8132" xr:uid="{00000000-0005-0000-0000-0000A4140000}"/>
    <cellStyle name="Normal 4 3 3 6 2 2 2" xfId="16579" xr:uid="{0BE95D06-E78E-4B23-A2EB-869CEA7493AF}"/>
    <cellStyle name="Normal 4 3 3 6 2 3" xfId="12364" xr:uid="{A30ACD6C-4E43-41FC-BF3F-9BF8D3F34E46}"/>
    <cellStyle name="Normal 4 3 3 6 3" xfId="5987" xr:uid="{00000000-0005-0000-0000-0000A5140000}"/>
    <cellStyle name="Normal 4 3 3 6 3 2" xfId="14434" xr:uid="{F067C635-36F5-441D-98E9-196146874813}"/>
    <cellStyle name="Normal 4 3 3 6 4" xfId="10219" xr:uid="{699B26AD-D997-45DB-ABBD-B6E8A658B6DA}"/>
    <cellStyle name="Normal 4 3 3 7" xfId="2094" xr:uid="{00000000-0005-0000-0000-0000A6140000}"/>
    <cellStyle name="Normal 4 3 3 7 2" xfId="4323" xr:uid="{00000000-0005-0000-0000-0000A7140000}"/>
    <cellStyle name="Normal 4 3 3 7 2 2" xfId="8545" xr:uid="{00000000-0005-0000-0000-0000A8140000}"/>
    <cellStyle name="Normal 4 3 3 7 2 2 2" xfId="16992" xr:uid="{1BFFA68B-1B01-4E75-AE38-F9301B4DB441}"/>
    <cellStyle name="Normal 4 3 3 7 2 3" xfId="12777" xr:uid="{EF9374CA-791A-4EAB-AAAC-85AF8CE47208}"/>
    <cellStyle name="Normal 4 3 3 7 3" xfId="6400" xr:uid="{00000000-0005-0000-0000-0000A9140000}"/>
    <cellStyle name="Normal 4 3 3 7 3 2" xfId="14847" xr:uid="{D2BBEAB5-1950-480D-8D1E-7AF07475F813}"/>
    <cellStyle name="Normal 4 3 3 7 4" xfId="10632" xr:uid="{F8B8423E-39A0-4D13-85FC-BC8CFBD271D3}"/>
    <cellStyle name="Normal 4 3 3 8" xfId="2530" xr:uid="{00000000-0005-0000-0000-0000AA140000}"/>
    <cellStyle name="Normal 4 3 3 8 2" xfId="6813" xr:uid="{00000000-0005-0000-0000-0000AB140000}"/>
    <cellStyle name="Normal 4 3 3 8 2 2" xfId="15260" xr:uid="{021F84B8-6CFE-4958-9C6B-45228020038A}"/>
    <cellStyle name="Normal 4 3 3 8 3" xfId="11045" xr:uid="{A37202BE-1A8A-4665-8395-C5634B43C527}"/>
    <cellStyle name="Normal 4 3 3 9" xfId="4748" xr:uid="{00000000-0005-0000-0000-0000AC140000}"/>
    <cellStyle name="Normal 4 3 3 9 2" xfId="13195" xr:uid="{FFB6CADD-5004-4922-8745-FF414595BA65}"/>
    <cellStyle name="Normal 4 3 4" xfId="842" xr:uid="{00000000-0005-0000-0000-0000AD140000}"/>
    <cellStyle name="Normal 4 3 4 2" xfId="3079" xr:uid="{00000000-0005-0000-0000-0000AE140000}"/>
    <cellStyle name="Normal 4 3 4 2 2" xfId="7301" xr:uid="{00000000-0005-0000-0000-0000AF140000}"/>
    <cellStyle name="Normal 4 3 4 2 2 2" xfId="15748" xr:uid="{DA2091CD-0477-4C32-9191-5E8B9FC7047F}"/>
    <cellStyle name="Normal 4 3 4 2 3" xfId="11533" xr:uid="{1B3C2A50-A22B-4BCC-97A0-7D3DC92C38DB}"/>
    <cellStyle name="Normal 4 3 4 3" xfId="5156" xr:uid="{00000000-0005-0000-0000-0000B0140000}"/>
    <cellStyle name="Normal 4 3 4 3 2" xfId="13603" xr:uid="{6DC39383-B7D2-4E5C-BCE1-3CD05F9D70FA}"/>
    <cellStyle name="Normal 4 3 4 4" xfId="9388" xr:uid="{488F472C-A528-4AE4-B405-4172F29E249E}"/>
    <cellStyle name="Normal 4 3 5" xfId="1262" xr:uid="{00000000-0005-0000-0000-0000B1140000}"/>
    <cellStyle name="Normal 4 3 5 2" xfId="3492" xr:uid="{00000000-0005-0000-0000-0000B2140000}"/>
    <cellStyle name="Normal 4 3 5 2 2" xfId="7714" xr:uid="{00000000-0005-0000-0000-0000B3140000}"/>
    <cellStyle name="Normal 4 3 5 2 2 2" xfId="16161" xr:uid="{AA1B8B87-3076-413D-BEBD-E9FDE06D9E93}"/>
    <cellStyle name="Normal 4 3 5 2 3" xfId="11946" xr:uid="{9288F258-D112-48A5-AFD1-3BF43C4D9D01}"/>
    <cellStyle name="Normal 4 3 5 3" xfId="5569" xr:uid="{00000000-0005-0000-0000-0000B4140000}"/>
    <cellStyle name="Normal 4 3 5 3 2" xfId="14016" xr:uid="{88F21957-6167-458D-9746-FAC42964AD68}"/>
    <cellStyle name="Normal 4 3 5 4" xfId="9801" xr:uid="{696E1EAD-8CD8-41BC-BE04-86767B395A3B}"/>
    <cellStyle name="Normal 4 3 6" xfId="1675" xr:uid="{00000000-0005-0000-0000-0000B5140000}"/>
    <cellStyle name="Normal 4 3 6 2" xfId="3905" xr:uid="{00000000-0005-0000-0000-0000B6140000}"/>
    <cellStyle name="Normal 4 3 6 2 2" xfId="8127" xr:uid="{00000000-0005-0000-0000-0000B7140000}"/>
    <cellStyle name="Normal 4 3 6 2 2 2" xfId="16574" xr:uid="{4EBB3517-C545-4492-9BCF-13B7A760C5BA}"/>
    <cellStyle name="Normal 4 3 6 2 3" xfId="12359" xr:uid="{C95793BE-A671-4B1C-B2B5-FFE950DB147C}"/>
    <cellStyle name="Normal 4 3 6 3" xfId="5982" xr:uid="{00000000-0005-0000-0000-0000B8140000}"/>
    <cellStyle name="Normal 4 3 6 3 2" xfId="14429" xr:uid="{A313C694-88D9-4C32-9478-3852BD5FD0AE}"/>
    <cellStyle name="Normal 4 3 6 4" xfId="10214" xr:uid="{52C4986A-0779-470E-BEB9-D7BA612022FC}"/>
    <cellStyle name="Normal 4 3 7" xfId="2089" xr:uid="{00000000-0005-0000-0000-0000B9140000}"/>
    <cellStyle name="Normal 4 3 7 2" xfId="4318" xr:uid="{00000000-0005-0000-0000-0000BA140000}"/>
    <cellStyle name="Normal 4 3 7 2 2" xfId="8540" xr:uid="{00000000-0005-0000-0000-0000BB140000}"/>
    <cellStyle name="Normal 4 3 7 2 2 2" xfId="16987" xr:uid="{199A4347-BEE9-4607-974F-75532C649259}"/>
    <cellStyle name="Normal 4 3 7 2 3" xfId="12772" xr:uid="{08311284-FC81-42A5-9304-A3DBA6C716CF}"/>
    <cellStyle name="Normal 4 3 7 3" xfId="6395" xr:uid="{00000000-0005-0000-0000-0000BC140000}"/>
    <cellStyle name="Normal 4 3 7 3 2" xfId="14842" xr:uid="{30EE38EA-122C-4710-B6E1-9925F8F650A4}"/>
    <cellStyle name="Normal 4 3 7 4" xfId="10627" xr:uid="{C27827F8-E81E-4A0F-B00F-9ED71B8DE88B}"/>
    <cellStyle name="Normal 4 3 8" xfId="2525" xr:uid="{00000000-0005-0000-0000-0000BD140000}"/>
    <cellStyle name="Normal 4 3 8 2" xfId="6808" xr:uid="{00000000-0005-0000-0000-0000BE140000}"/>
    <cellStyle name="Normal 4 3 8 2 2" xfId="15255" xr:uid="{92935687-639F-4F0E-ABD1-FDF70C4E7004}"/>
    <cellStyle name="Normal 4 3 8 3" xfId="11040" xr:uid="{8E3901F7-E34F-4C86-BA75-2DA42DA4CE9D}"/>
    <cellStyle name="Normal 4 3 9" xfId="4743" xr:uid="{00000000-0005-0000-0000-0000BF140000}"/>
    <cellStyle name="Normal 4 3 9 2" xfId="13190" xr:uid="{892DF2C0-BEF1-49E7-90F7-3AA35D2982D3}"/>
    <cellStyle name="Normal 4 4" xfId="378" xr:uid="{00000000-0005-0000-0000-0000C0140000}"/>
    <cellStyle name="Normal 4 4 10" xfId="2534" xr:uid="{00000000-0005-0000-0000-0000C1140000}"/>
    <cellStyle name="Normal 4 4 10 2" xfId="6817" xr:uid="{00000000-0005-0000-0000-0000C2140000}"/>
    <cellStyle name="Normal 4 4 10 2 2" xfId="15264" xr:uid="{39338CDD-F755-4030-A961-1D529BA2DDB9}"/>
    <cellStyle name="Normal 4 4 10 3" xfId="11049" xr:uid="{E735AC32-6E90-4040-B416-149161591587}"/>
    <cellStyle name="Normal 4 4 11" xfId="4752" xr:uid="{00000000-0005-0000-0000-0000C3140000}"/>
    <cellStyle name="Normal 4 4 11 2" xfId="13199" xr:uid="{9139F28A-7E95-4CC7-B664-7B3C3DDAB452}"/>
    <cellStyle name="Normal 4 4 12" xfId="8984" xr:uid="{B6B634EA-4EF8-4377-88EC-2770E5FD7149}"/>
    <cellStyle name="Normal 4 4 2" xfId="379" xr:uid="{00000000-0005-0000-0000-0000C4140000}"/>
    <cellStyle name="Normal 4 4 2 10" xfId="4753" xr:uid="{00000000-0005-0000-0000-0000C5140000}"/>
    <cellStyle name="Normal 4 4 2 10 2" xfId="13200" xr:uid="{7950E2F5-556A-47F5-8FF5-0AFEE9480021}"/>
    <cellStyle name="Normal 4 4 2 11" xfId="8985" xr:uid="{EA64E0DB-34CB-42D1-B4F0-FA51733C336A}"/>
    <cellStyle name="Normal 4 4 2 2" xfId="380" xr:uid="{00000000-0005-0000-0000-0000C6140000}"/>
    <cellStyle name="Normal 4 4 2 2 10" xfId="8986" xr:uid="{AED2A137-5F02-4BF9-BAA4-7ADA19F6A8BC}"/>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1" xr:uid="{79B7DEB4-B0EB-48C2-9568-720A3DC603F5}"/>
    <cellStyle name="Normal 4 4 2 2 2 2 2 2 3" xfId="11546" xr:uid="{219229AE-3E12-4908-A251-B99213580B6D}"/>
    <cellStyle name="Normal 4 4 2 2 2 2 2 3" xfId="5169" xr:uid="{00000000-0005-0000-0000-0000CC140000}"/>
    <cellStyle name="Normal 4 4 2 2 2 2 2 3 2" xfId="13616" xr:uid="{B61F6BAC-68C7-4C03-A88C-4790947FCD6E}"/>
    <cellStyle name="Normal 4 4 2 2 2 2 2 4" xfId="9401" xr:uid="{E25EB169-A2B4-47C0-8F89-6C4F7C132E3E}"/>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4" xr:uid="{1982F17A-173C-4926-8B1C-E52C1FA58E67}"/>
    <cellStyle name="Normal 4 4 2 2 2 2 3 2 3" xfId="11959" xr:uid="{4331BC0A-EF02-4BE2-A1A7-5C4DA7BD7563}"/>
    <cellStyle name="Normal 4 4 2 2 2 2 3 3" xfId="5582" xr:uid="{00000000-0005-0000-0000-0000D0140000}"/>
    <cellStyle name="Normal 4 4 2 2 2 2 3 3 2" xfId="14029" xr:uid="{A956CDE7-DD98-4AE9-AF4B-2CD476BF26DF}"/>
    <cellStyle name="Normal 4 4 2 2 2 2 3 4" xfId="9814" xr:uid="{500F5578-D241-4148-80F6-CD798C353EE4}"/>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87" xr:uid="{D59F83B1-1424-4C0A-BB2A-8ED709287547}"/>
    <cellStyle name="Normal 4 4 2 2 2 2 4 2 3" xfId="12372" xr:uid="{49C5BDF8-7307-4F11-8FF0-8CEF97E6B328}"/>
    <cellStyle name="Normal 4 4 2 2 2 2 4 3" xfId="5995" xr:uid="{00000000-0005-0000-0000-0000D4140000}"/>
    <cellStyle name="Normal 4 4 2 2 2 2 4 3 2" xfId="14442" xr:uid="{11158AFE-2E7D-46E7-BB86-2744F7F8AC73}"/>
    <cellStyle name="Normal 4 4 2 2 2 2 4 4" xfId="10227" xr:uid="{6E0F1310-6AEF-4C00-8A2E-B77EE6F3AB13}"/>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0" xr:uid="{BBA9C971-EBE2-41ED-A970-5C785402ADB0}"/>
    <cellStyle name="Normal 4 4 2 2 2 2 5 2 3" xfId="12785" xr:uid="{692B349A-4469-47E8-A165-EC6323525719}"/>
    <cellStyle name="Normal 4 4 2 2 2 2 5 3" xfId="6408" xr:uid="{00000000-0005-0000-0000-0000D8140000}"/>
    <cellStyle name="Normal 4 4 2 2 2 2 5 3 2" xfId="14855" xr:uid="{C278FAA1-BD2F-480F-9F31-71DE6C2858D0}"/>
    <cellStyle name="Normal 4 4 2 2 2 2 5 4" xfId="10640" xr:uid="{7284A07D-406B-4B68-BED9-DEB71CB5FA09}"/>
    <cellStyle name="Normal 4 4 2 2 2 2 6" xfId="2538" xr:uid="{00000000-0005-0000-0000-0000D9140000}"/>
    <cellStyle name="Normal 4 4 2 2 2 2 6 2" xfId="6821" xr:uid="{00000000-0005-0000-0000-0000DA140000}"/>
    <cellStyle name="Normal 4 4 2 2 2 2 6 2 2" xfId="15268" xr:uid="{A8DDB6BD-A550-4228-AD5B-84DE2DE122AB}"/>
    <cellStyle name="Normal 4 4 2 2 2 2 6 3" xfId="11053" xr:uid="{8EDBA3F9-112C-44F8-B029-C7C289CF5073}"/>
    <cellStyle name="Normal 4 4 2 2 2 2 7" xfId="4756" xr:uid="{00000000-0005-0000-0000-0000DB140000}"/>
    <cellStyle name="Normal 4 4 2 2 2 2 7 2" xfId="13203" xr:uid="{851E87FB-3B2A-4CC7-8CD6-34FE394B6CC0}"/>
    <cellStyle name="Normal 4 4 2 2 2 2 8" xfId="8988" xr:uid="{59A48905-B71E-4BEB-B65A-6133AFC0FF24}"/>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0" xr:uid="{7FF0845B-C97D-420A-81D0-979CDADD8365}"/>
    <cellStyle name="Normal 4 4 2 2 2 3 2 3" xfId="11545" xr:uid="{3D532DF1-2214-4412-8EA5-6C9CCDD9DD12}"/>
    <cellStyle name="Normal 4 4 2 2 2 3 3" xfId="5168" xr:uid="{00000000-0005-0000-0000-0000DF140000}"/>
    <cellStyle name="Normal 4 4 2 2 2 3 3 2" xfId="13615" xr:uid="{317E8F33-F2B7-4DBC-B12C-ACAAEE2379AB}"/>
    <cellStyle name="Normal 4 4 2 2 2 3 4" xfId="9400" xr:uid="{FF0AA504-7D18-4310-84EB-33BC1623329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3" xr:uid="{4D51ABC2-0D33-4288-A061-6370088CD3A1}"/>
    <cellStyle name="Normal 4 4 2 2 2 4 2 3" xfId="11958" xr:uid="{1F3DF411-5D88-4362-A34F-9E2FB7AF0EFE}"/>
    <cellStyle name="Normal 4 4 2 2 2 4 3" xfId="5581" xr:uid="{00000000-0005-0000-0000-0000E3140000}"/>
    <cellStyle name="Normal 4 4 2 2 2 4 3 2" xfId="14028" xr:uid="{31E28601-ECAE-4E98-908D-3E6AA0AD4E06}"/>
    <cellStyle name="Normal 4 4 2 2 2 4 4" xfId="9813" xr:uid="{93DE1ACE-65BE-4264-8F5F-882E60461EDC}"/>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6" xr:uid="{7F991272-3A58-4210-B487-CB65ECF43437}"/>
    <cellStyle name="Normal 4 4 2 2 2 5 2 3" xfId="12371" xr:uid="{51D7637C-9919-4007-B65D-D232C72C4428}"/>
    <cellStyle name="Normal 4 4 2 2 2 5 3" xfId="5994" xr:uid="{00000000-0005-0000-0000-0000E7140000}"/>
    <cellStyle name="Normal 4 4 2 2 2 5 3 2" xfId="14441" xr:uid="{E090A134-993B-42CA-A117-C6F47D769BFE}"/>
    <cellStyle name="Normal 4 4 2 2 2 5 4" xfId="10226" xr:uid="{8A2396DC-B917-4B89-A5B2-63B3FF04DC54}"/>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6999" xr:uid="{228ACC5B-5940-4A32-A4F9-A3B7E8A3B92F}"/>
    <cellStyle name="Normal 4 4 2 2 2 6 2 3" xfId="12784" xr:uid="{1FD36A7A-8325-458B-B30A-2C7B2CB96F95}"/>
    <cellStyle name="Normal 4 4 2 2 2 6 3" xfId="6407" xr:uid="{00000000-0005-0000-0000-0000EB140000}"/>
    <cellStyle name="Normal 4 4 2 2 2 6 3 2" xfId="14854" xr:uid="{F0C5D363-9BAD-4462-9792-B8FB5202F0C3}"/>
    <cellStyle name="Normal 4 4 2 2 2 6 4" xfId="10639" xr:uid="{9C05F3EA-4E34-457D-835B-EA3E2C5ABF88}"/>
    <cellStyle name="Normal 4 4 2 2 2 7" xfId="2537" xr:uid="{00000000-0005-0000-0000-0000EC140000}"/>
    <cellStyle name="Normal 4 4 2 2 2 7 2" xfId="6820" xr:uid="{00000000-0005-0000-0000-0000ED140000}"/>
    <cellStyle name="Normal 4 4 2 2 2 7 2 2" xfId="15267" xr:uid="{E96327E0-E181-4548-9B84-2CE45504E203}"/>
    <cellStyle name="Normal 4 4 2 2 2 7 3" xfId="11052" xr:uid="{E212EDB8-6F61-488B-88E0-758252668BB1}"/>
    <cellStyle name="Normal 4 4 2 2 2 8" xfId="4755" xr:uid="{00000000-0005-0000-0000-0000EE140000}"/>
    <cellStyle name="Normal 4 4 2 2 2 8 2" xfId="13202" xr:uid="{B79F8694-E035-4E5D-94F9-33324D7BC5FF}"/>
    <cellStyle name="Normal 4 4 2 2 2 9" xfId="8987" xr:uid="{75F677B1-DB6B-4AB7-B5AD-DA2A4A83B76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2" xr:uid="{FBD51B5F-EFBC-4962-A48D-EAA76D357523}"/>
    <cellStyle name="Normal 4 4 2 2 3 2 2 3" xfId="11547" xr:uid="{0CEACB95-0112-4367-9001-0EEAD80CB9D7}"/>
    <cellStyle name="Normal 4 4 2 2 3 2 3" xfId="5170" xr:uid="{00000000-0005-0000-0000-0000F3140000}"/>
    <cellStyle name="Normal 4 4 2 2 3 2 3 2" xfId="13617" xr:uid="{EFBE8B5D-D646-4EDF-A610-E8014E756AF6}"/>
    <cellStyle name="Normal 4 4 2 2 3 2 4" xfId="9402" xr:uid="{0F7CB1E3-B322-4D0F-A361-FCB2B80D7DCC}"/>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5" xr:uid="{72AE66D4-B8AE-45EE-A0C7-88C4B1E6D1AB}"/>
    <cellStyle name="Normal 4 4 2 2 3 3 2 3" xfId="11960" xr:uid="{CEA9441C-287C-4A5E-BEF8-348D4E09D2D8}"/>
    <cellStyle name="Normal 4 4 2 2 3 3 3" xfId="5583" xr:uid="{00000000-0005-0000-0000-0000F7140000}"/>
    <cellStyle name="Normal 4 4 2 2 3 3 3 2" xfId="14030" xr:uid="{F07E6CB0-4175-49DC-BC8C-1DAB591D6715}"/>
    <cellStyle name="Normal 4 4 2 2 3 3 4" xfId="9815" xr:uid="{1B7E5646-F001-471C-A1CB-A7B0DCD8BFBA}"/>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88" xr:uid="{5F8308EF-FB1B-441F-A700-C87602E806E7}"/>
    <cellStyle name="Normal 4 4 2 2 3 4 2 3" xfId="12373" xr:uid="{9EDAE4BF-A2F3-4163-A863-9668A6AC949E}"/>
    <cellStyle name="Normal 4 4 2 2 3 4 3" xfId="5996" xr:uid="{00000000-0005-0000-0000-0000FB140000}"/>
    <cellStyle name="Normal 4 4 2 2 3 4 3 2" xfId="14443" xr:uid="{16D2BCA1-AC49-4D5B-870D-ABB4883F1F73}"/>
    <cellStyle name="Normal 4 4 2 2 3 4 4" xfId="10228" xr:uid="{AC97A7D0-8C23-44A3-A139-5EC2026D1B79}"/>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1" xr:uid="{FCD1B94C-32BF-4607-BF99-39E988E8A83C}"/>
    <cellStyle name="Normal 4 4 2 2 3 5 2 3" xfId="12786" xr:uid="{C1C5001F-CB24-49A7-9DD7-8D4B41FA6DDB}"/>
    <cellStyle name="Normal 4 4 2 2 3 5 3" xfId="6409" xr:uid="{00000000-0005-0000-0000-0000FF140000}"/>
    <cellStyle name="Normal 4 4 2 2 3 5 3 2" xfId="14856" xr:uid="{94DB0E6E-9595-43CC-9654-8EB16BF3EB0F}"/>
    <cellStyle name="Normal 4 4 2 2 3 5 4" xfId="10641" xr:uid="{3C1DA63E-4CA8-45D0-AC05-49A92A763E74}"/>
    <cellStyle name="Normal 4 4 2 2 3 6" xfId="2539" xr:uid="{00000000-0005-0000-0000-000000150000}"/>
    <cellStyle name="Normal 4 4 2 2 3 6 2" xfId="6822" xr:uid="{00000000-0005-0000-0000-000001150000}"/>
    <cellStyle name="Normal 4 4 2 2 3 6 2 2" xfId="15269" xr:uid="{7BE236CD-61C2-4731-B7A6-B069151605CB}"/>
    <cellStyle name="Normal 4 4 2 2 3 6 3" xfId="11054" xr:uid="{CE9F84D7-6BF5-4690-AA11-C81D435286C2}"/>
    <cellStyle name="Normal 4 4 2 2 3 7" xfId="4757" xr:uid="{00000000-0005-0000-0000-000002150000}"/>
    <cellStyle name="Normal 4 4 2 2 3 7 2" xfId="13204" xr:uid="{C644A566-10B3-4180-A4F6-83D47720788C}"/>
    <cellStyle name="Normal 4 4 2 2 3 8" xfId="8989" xr:uid="{3EB7CDA9-EBFC-42FF-A9B3-0D330D706316}"/>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59" xr:uid="{886046FF-317D-4A24-965B-D7A26B1E5B14}"/>
    <cellStyle name="Normal 4 4 2 2 4 2 3" xfId="11544" xr:uid="{23306914-F5D7-40B2-90EC-D7F6BD4408FE}"/>
    <cellStyle name="Normal 4 4 2 2 4 3" xfId="5167" xr:uid="{00000000-0005-0000-0000-000006150000}"/>
    <cellStyle name="Normal 4 4 2 2 4 3 2" xfId="13614" xr:uid="{5D749A31-565D-4CAC-9727-A2EEF71A06EE}"/>
    <cellStyle name="Normal 4 4 2 2 4 4" xfId="9399" xr:uid="{902D113B-D9E8-4C12-80C2-0DA3EFF1403F}"/>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2" xr:uid="{839D8927-23C0-4D23-87D9-DBA2676A7F76}"/>
    <cellStyle name="Normal 4 4 2 2 5 2 3" xfId="11957" xr:uid="{8C6DE44A-D14A-4D27-90D3-478D1D42BB70}"/>
    <cellStyle name="Normal 4 4 2 2 5 3" xfId="5580" xr:uid="{00000000-0005-0000-0000-00000A150000}"/>
    <cellStyle name="Normal 4 4 2 2 5 3 2" xfId="14027" xr:uid="{D79F847D-5FCC-4EB0-ABF9-8B50ADCCB9D3}"/>
    <cellStyle name="Normal 4 4 2 2 5 4" xfId="9812" xr:uid="{4A6A47E0-C8F5-46C2-9045-2F6B3FD05FAD}"/>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5" xr:uid="{26B455D8-F17C-49FB-A506-0A74FCEFFDEC}"/>
    <cellStyle name="Normal 4 4 2 2 6 2 3" xfId="12370" xr:uid="{8E8F6D97-3924-4E0B-B15E-F5EF6AB7D075}"/>
    <cellStyle name="Normal 4 4 2 2 6 3" xfId="5993" xr:uid="{00000000-0005-0000-0000-00000E150000}"/>
    <cellStyle name="Normal 4 4 2 2 6 3 2" xfId="14440" xr:uid="{27DE7715-F964-4D14-9F58-E14263B72F74}"/>
    <cellStyle name="Normal 4 4 2 2 6 4" xfId="10225" xr:uid="{0193EEA0-0CCD-4006-AF39-FA64108670CA}"/>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6998" xr:uid="{3E8E9B13-AC2E-4880-800A-3C89FD039DB5}"/>
    <cellStyle name="Normal 4 4 2 2 7 2 3" xfId="12783" xr:uid="{CB11453B-A3B0-4FB6-BEAB-A136287EBAB8}"/>
    <cellStyle name="Normal 4 4 2 2 7 3" xfId="6406" xr:uid="{00000000-0005-0000-0000-000012150000}"/>
    <cellStyle name="Normal 4 4 2 2 7 3 2" xfId="14853" xr:uid="{F25503A3-B3CA-4407-9461-0618EBD68780}"/>
    <cellStyle name="Normal 4 4 2 2 7 4" xfId="10638" xr:uid="{270C1BE7-F8FD-4699-9F48-4C605E922FDD}"/>
    <cellStyle name="Normal 4 4 2 2 8" xfId="2536" xr:uid="{00000000-0005-0000-0000-000013150000}"/>
    <cellStyle name="Normal 4 4 2 2 8 2" xfId="6819" xr:uid="{00000000-0005-0000-0000-000014150000}"/>
    <cellStyle name="Normal 4 4 2 2 8 2 2" xfId="15266" xr:uid="{4F13CBEB-7C3D-4991-A259-7B7CA0D970E2}"/>
    <cellStyle name="Normal 4 4 2 2 8 3" xfId="11051" xr:uid="{6C07C711-5C92-433B-9358-0D8820487BA5}"/>
    <cellStyle name="Normal 4 4 2 2 9" xfId="4754" xr:uid="{00000000-0005-0000-0000-000015150000}"/>
    <cellStyle name="Normal 4 4 2 2 9 2" xfId="13201" xr:uid="{A8B9D8A4-D9E6-46E1-9BB4-336B842FF257}"/>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4" xr:uid="{21FF5783-F7B7-4444-B79D-221BD2F92619}"/>
    <cellStyle name="Normal 4 4 2 3 2 2 2 3" xfId="11549" xr:uid="{59E70189-7181-47BC-9F39-331B601D4202}"/>
    <cellStyle name="Normal 4 4 2 3 2 2 3" xfId="5172" xr:uid="{00000000-0005-0000-0000-00001B150000}"/>
    <cellStyle name="Normal 4 4 2 3 2 2 3 2" xfId="13619" xr:uid="{CF6DD596-A354-4932-8B47-794BDD55EBAF}"/>
    <cellStyle name="Normal 4 4 2 3 2 2 4" xfId="9404" xr:uid="{232860AF-D8E8-478C-B1CE-F45CDB1812E5}"/>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77" xr:uid="{513F6505-1C63-49A2-99EE-BB67A6DF6F29}"/>
    <cellStyle name="Normal 4 4 2 3 2 3 2 3" xfId="11962" xr:uid="{9A197E70-FAA3-4D91-8CC5-ADDC32996B73}"/>
    <cellStyle name="Normal 4 4 2 3 2 3 3" xfId="5585" xr:uid="{00000000-0005-0000-0000-00001F150000}"/>
    <cellStyle name="Normal 4 4 2 3 2 3 3 2" xfId="14032" xr:uid="{D900DCFF-81B4-437B-8308-EB964B4A4E39}"/>
    <cellStyle name="Normal 4 4 2 3 2 3 4" xfId="9817" xr:uid="{7BC15A76-2973-4EC4-B837-C06A01F581E4}"/>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0" xr:uid="{9A6BC861-AE4D-4A8D-9F60-03F0B2A0FAE3}"/>
    <cellStyle name="Normal 4 4 2 3 2 4 2 3" xfId="12375" xr:uid="{D63B432E-F2DB-4CEC-8CC2-B80BD3E98F5F}"/>
    <cellStyle name="Normal 4 4 2 3 2 4 3" xfId="5998" xr:uid="{00000000-0005-0000-0000-000023150000}"/>
    <cellStyle name="Normal 4 4 2 3 2 4 3 2" xfId="14445" xr:uid="{A647D73D-7CC2-4261-B044-B90A90036C86}"/>
    <cellStyle name="Normal 4 4 2 3 2 4 4" xfId="10230" xr:uid="{79DD6380-4018-427D-98B5-6E038343E629}"/>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3" xr:uid="{AB173F4F-52FD-4C24-A777-634C1ECC2F7F}"/>
    <cellStyle name="Normal 4 4 2 3 2 5 2 3" xfId="12788" xr:uid="{514ACC72-FD03-48A4-B643-76AA20602075}"/>
    <cellStyle name="Normal 4 4 2 3 2 5 3" xfId="6411" xr:uid="{00000000-0005-0000-0000-000027150000}"/>
    <cellStyle name="Normal 4 4 2 3 2 5 3 2" xfId="14858" xr:uid="{9DF36A6D-CD05-4BA4-B584-680744F76E66}"/>
    <cellStyle name="Normal 4 4 2 3 2 5 4" xfId="10643" xr:uid="{5BC7B69C-5647-42B8-A024-0E8C1FA892E5}"/>
    <cellStyle name="Normal 4 4 2 3 2 6" xfId="2541" xr:uid="{00000000-0005-0000-0000-000028150000}"/>
    <cellStyle name="Normal 4 4 2 3 2 6 2" xfId="6824" xr:uid="{00000000-0005-0000-0000-000029150000}"/>
    <cellStyle name="Normal 4 4 2 3 2 6 2 2" xfId="15271" xr:uid="{DAD50FB6-5BEC-4474-AE28-A3B743DBD4ED}"/>
    <cellStyle name="Normal 4 4 2 3 2 6 3" xfId="11056" xr:uid="{877B748C-960D-46F9-A3E1-1BD0D6A53D22}"/>
    <cellStyle name="Normal 4 4 2 3 2 7" xfId="4759" xr:uid="{00000000-0005-0000-0000-00002A150000}"/>
    <cellStyle name="Normal 4 4 2 3 2 7 2" xfId="13206" xr:uid="{BD828166-7FB6-43FC-9761-A192D07F6C55}"/>
    <cellStyle name="Normal 4 4 2 3 2 8" xfId="8991" xr:uid="{E19D6906-F321-4127-82F7-26ABE9507A51}"/>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3" xr:uid="{13CE29CE-1D68-4084-BB53-4FCE5F502F73}"/>
    <cellStyle name="Normal 4 4 2 3 3 2 3" xfId="11548" xr:uid="{D8C4CC4C-4480-4F7E-A20F-77098969060D}"/>
    <cellStyle name="Normal 4 4 2 3 3 3" xfId="5171" xr:uid="{00000000-0005-0000-0000-00002E150000}"/>
    <cellStyle name="Normal 4 4 2 3 3 3 2" xfId="13618" xr:uid="{64EC298C-1319-4DB8-B831-7045EBE23A56}"/>
    <cellStyle name="Normal 4 4 2 3 3 4" xfId="9403" xr:uid="{2A9A17FF-AC6C-44D4-907A-3A585B390AF9}"/>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6" xr:uid="{4D858E40-08EF-4587-A22B-3AE8B9162D76}"/>
    <cellStyle name="Normal 4 4 2 3 4 2 3" xfId="11961" xr:uid="{E875D47B-666E-4F82-A51D-313D7CCF89AB}"/>
    <cellStyle name="Normal 4 4 2 3 4 3" xfId="5584" xr:uid="{00000000-0005-0000-0000-000032150000}"/>
    <cellStyle name="Normal 4 4 2 3 4 3 2" xfId="14031" xr:uid="{C3CD37D5-2763-416D-9ED1-FE749EF2ECF1}"/>
    <cellStyle name="Normal 4 4 2 3 4 4" xfId="9816" xr:uid="{0A7BF6E9-26F0-4605-831E-792CD2A095B5}"/>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89" xr:uid="{C100C857-2F59-4A33-AD93-2B2705587246}"/>
    <cellStyle name="Normal 4 4 2 3 5 2 3" xfId="12374" xr:uid="{B3BB8C36-0B6F-46AE-A1DB-9A8C38C8F69E}"/>
    <cellStyle name="Normal 4 4 2 3 5 3" xfId="5997" xr:uid="{00000000-0005-0000-0000-000036150000}"/>
    <cellStyle name="Normal 4 4 2 3 5 3 2" xfId="14444" xr:uid="{2C00A05D-CA7A-40A6-AC19-EC68773D2389}"/>
    <cellStyle name="Normal 4 4 2 3 5 4" xfId="10229" xr:uid="{D40C5C75-639E-48E0-AA76-38B15892625D}"/>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2" xr:uid="{3B1D43C3-8CA2-4B29-9706-6379F48AE10D}"/>
    <cellStyle name="Normal 4 4 2 3 6 2 3" xfId="12787" xr:uid="{6AB18293-B250-480E-9C0C-F14989F0575B}"/>
    <cellStyle name="Normal 4 4 2 3 6 3" xfId="6410" xr:uid="{00000000-0005-0000-0000-00003A150000}"/>
    <cellStyle name="Normal 4 4 2 3 6 3 2" xfId="14857" xr:uid="{2E058325-C86C-4781-B0AF-32B99C1F1D09}"/>
    <cellStyle name="Normal 4 4 2 3 6 4" xfId="10642" xr:uid="{E382ED59-C879-4554-AA5C-F9FE5C25A498}"/>
    <cellStyle name="Normal 4 4 2 3 7" xfId="2540" xr:uid="{00000000-0005-0000-0000-00003B150000}"/>
    <cellStyle name="Normal 4 4 2 3 7 2" xfId="6823" xr:uid="{00000000-0005-0000-0000-00003C150000}"/>
    <cellStyle name="Normal 4 4 2 3 7 2 2" xfId="15270" xr:uid="{CEC5A009-73DA-4DA0-8584-EC75AD27BFDE}"/>
    <cellStyle name="Normal 4 4 2 3 7 3" xfId="11055" xr:uid="{973CD446-E522-4B91-BA35-B228717ED1E8}"/>
    <cellStyle name="Normal 4 4 2 3 8" xfId="4758" xr:uid="{00000000-0005-0000-0000-00003D150000}"/>
    <cellStyle name="Normal 4 4 2 3 8 2" xfId="13205" xr:uid="{BE2FC444-3734-4D3F-86D9-4D8557458DDF}"/>
    <cellStyle name="Normal 4 4 2 3 9" xfId="8990" xr:uid="{037BE626-978D-470C-9051-E691F279D329}"/>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5" xr:uid="{9FCB9C11-7089-4CDA-A440-4CE9CC2F9A7C}"/>
    <cellStyle name="Normal 4 4 2 4 2 2 3" xfId="11550" xr:uid="{489DB3B4-938B-425E-A3D6-FA4E573A88BA}"/>
    <cellStyle name="Normal 4 4 2 4 2 3" xfId="5173" xr:uid="{00000000-0005-0000-0000-000042150000}"/>
    <cellStyle name="Normal 4 4 2 4 2 3 2" xfId="13620" xr:uid="{4E49533D-D408-468C-A9F5-4580E1C11A8C}"/>
    <cellStyle name="Normal 4 4 2 4 2 4" xfId="9405" xr:uid="{B3DF5392-B2A2-4F2D-9FDF-0540AAEF8D33}"/>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78" xr:uid="{337A947A-B1EC-448D-B3E7-B280B6E2D725}"/>
    <cellStyle name="Normal 4 4 2 4 3 2 3" xfId="11963" xr:uid="{9C631856-218B-46B3-89DA-DA4972CF3067}"/>
    <cellStyle name="Normal 4 4 2 4 3 3" xfId="5586" xr:uid="{00000000-0005-0000-0000-000046150000}"/>
    <cellStyle name="Normal 4 4 2 4 3 3 2" xfId="14033" xr:uid="{F8750F7E-D554-4CB6-A064-B1A91709312E}"/>
    <cellStyle name="Normal 4 4 2 4 3 4" xfId="9818" xr:uid="{864B4B06-2A0B-4EAB-BAF6-7F7255D5CF04}"/>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1" xr:uid="{44DC78F7-B8EB-43B9-ADEC-2FD7149AF4DD}"/>
    <cellStyle name="Normal 4 4 2 4 4 2 3" xfId="12376" xr:uid="{38246951-C822-432F-A5E4-A84E8910B6AA}"/>
    <cellStyle name="Normal 4 4 2 4 4 3" xfId="5999" xr:uid="{00000000-0005-0000-0000-00004A150000}"/>
    <cellStyle name="Normal 4 4 2 4 4 3 2" xfId="14446" xr:uid="{3E1F6EB4-EF04-4C5B-AE97-CEE912E7DDAE}"/>
    <cellStyle name="Normal 4 4 2 4 4 4" xfId="10231" xr:uid="{9FED8DAB-54AA-495D-82FE-8CBE9A6B7178}"/>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4" xr:uid="{44642301-20C8-45F9-AB93-BE754F075938}"/>
    <cellStyle name="Normal 4 4 2 4 5 2 3" xfId="12789" xr:uid="{D5E00A92-FCC9-4AEE-836E-E302D2247468}"/>
    <cellStyle name="Normal 4 4 2 4 5 3" xfId="6412" xr:uid="{00000000-0005-0000-0000-00004E150000}"/>
    <cellStyle name="Normal 4 4 2 4 5 3 2" xfId="14859" xr:uid="{F61777A9-8548-42AB-91CF-9C1B3D519F48}"/>
    <cellStyle name="Normal 4 4 2 4 5 4" xfId="10644" xr:uid="{F46309FF-5979-4689-9D25-E6A19F1919B2}"/>
    <cellStyle name="Normal 4 4 2 4 6" xfId="2542" xr:uid="{00000000-0005-0000-0000-00004F150000}"/>
    <cellStyle name="Normal 4 4 2 4 6 2" xfId="6825" xr:uid="{00000000-0005-0000-0000-000050150000}"/>
    <cellStyle name="Normal 4 4 2 4 6 2 2" xfId="15272" xr:uid="{0AF52DAC-DA14-44FB-9EBF-90A6347467B3}"/>
    <cellStyle name="Normal 4 4 2 4 6 3" xfId="11057" xr:uid="{295E70F6-76DA-453E-838B-E5EA377B253F}"/>
    <cellStyle name="Normal 4 4 2 4 7" xfId="4760" xr:uid="{00000000-0005-0000-0000-000051150000}"/>
    <cellStyle name="Normal 4 4 2 4 7 2" xfId="13207" xr:uid="{D50F68D3-7C7E-4AAE-9C54-5B7DD3AA469E}"/>
    <cellStyle name="Normal 4 4 2 4 8" xfId="8992" xr:uid="{86D4FC21-4727-4685-9C38-1AB03703C9C2}"/>
    <cellStyle name="Normal 4 4 2 5" xfId="854" xr:uid="{00000000-0005-0000-0000-000052150000}"/>
    <cellStyle name="Normal 4 4 2 5 2" xfId="3089" xr:uid="{00000000-0005-0000-0000-000053150000}"/>
    <cellStyle name="Normal 4 4 2 5 2 2" xfId="7311" xr:uid="{00000000-0005-0000-0000-000054150000}"/>
    <cellStyle name="Normal 4 4 2 5 2 2 2" xfId="15758" xr:uid="{8BB3AED5-4713-49BD-BFA9-E5E72EA053C2}"/>
    <cellStyle name="Normal 4 4 2 5 2 3" xfId="11543" xr:uid="{46542D84-08B9-4F99-9368-0E32AE435891}"/>
    <cellStyle name="Normal 4 4 2 5 3" xfId="5166" xr:uid="{00000000-0005-0000-0000-000055150000}"/>
    <cellStyle name="Normal 4 4 2 5 3 2" xfId="13613" xr:uid="{E91A2CF0-4A92-4827-8BEE-109998B5710E}"/>
    <cellStyle name="Normal 4 4 2 5 4" xfId="9398" xr:uid="{AC01FC6D-546F-408F-860D-1CF0BFC37FF5}"/>
    <cellStyle name="Normal 4 4 2 6" xfId="1272" xr:uid="{00000000-0005-0000-0000-000056150000}"/>
    <cellStyle name="Normal 4 4 2 6 2" xfId="3502" xr:uid="{00000000-0005-0000-0000-000057150000}"/>
    <cellStyle name="Normal 4 4 2 6 2 2" xfId="7724" xr:uid="{00000000-0005-0000-0000-000058150000}"/>
    <cellStyle name="Normal 4 4 2 6 2 2 2" xfId="16171" xr:uid="{7D4CD69C-58B4-4BE2-8216-916A401F0193}"/>
    <cellStyle name="Normal 4 4 2 6 2 3" xfId="11956" xr:uid="{F797642B-58DA-4D89-98F7-54A28F0CAF67}"/>
    <cellStyle name="Normal 4 4 2 6 3" xfId="5579" xr:uid="{00000000-0005-0000-0000-000059150000}"/>
    <cellStyle name="Normal 4 4 2 6 3 2" xfId="14026" xr:uid="{1A97DEEE-0940-4011-8971-0844D7D6F228}"/>
    <cellStyle name="Normal 4 4 2 6 4" xfId="9811" xr:uid="{2EDBF693-BAFD-4678-8A0E-DBCA5B477A20}"/>
    <cellStyle name="Normal 4 4 2 7" xfId="1685" xr:uid="{00000000-0005-0000-0000-00005A150000}"/>
    <cellStyle name="Normal 4 4 2 7 2" xfId="3915" xr:uid="{00000000-0005-0000-0000-00005B150000}"/>
    <cellStyle name="Normal 4 4 2 7 2 2" xfId="8137" xr:uid="{00000000-0005-0000-0000-00005C150000}"/>
    <cellStyle name="Normal 4 4 2 7 2 2 2" xfId="16584" xr:uid="{E7E2E354-8420-493D-8CEB-19CEC948BE60}"/>
    <cellStyle name="Normal 4 4 2 7 2 3" xfId="12369" xr:uid="{94A640BC-ACF4-4065-979E-BA5C7F024E52}"/>
    <cellStyle name="Normal 4 4 2 7 3" xfId="5992" xr:uid="{00000000-0005-0000-0000-00005D150000}"/>
    <cellStyle name="Normal 4 4 2 7 3 2" xfId="14439" xr:uid="{3CDBCEC5-45C1-42E5-873F-F02C7E86C363}"/>
    <cellStyle name="Normal 4 4 2 7 4" xfId="10224" xr:uid="{F23CEAE8-298A-4219-B185-2A207ADE558B}"/>
    <cellStyle name="Normal 4 4 2 8" xfId="2099" xr:uid="{00000000-0005-0000-0000-00005E150000}"/>
    <cellStyle name="Normal 4 4 2 8 2" xfId="4328" xr:uid="{00000000-0005-0000-0000-00005F150000}"/>
    <cellStyle name="Normal 4 4 2 8 2 2" xfId="8550" xr:uid="{00000000-0005-0000-0000-000060150000}"/>
    <cellStyle name="Normal 4 4 2 8 2 2 2" xfId="16997" xr:uid="{9BC04EAC-A3FB-44B6-8438-C59512D56BDD}"/>
    <cellStyle name="Normal 4 4 2 8 2 3" xfId="12782" xr:uid="{42DEF2CB-EBE7-4A57-9664-056D1E4B7FD2}"/>
    <cellStyle name="Normal 4 4 2 8 3" xfId="6405" xr:uid="{00000000-0005-0000-0000-000061150000}"/>
    <cellStyle name="Normal 4 4 2 8 3 2" xfId="14852" xr:uid="{3EF26C0B-877C-4A34-8B69-5F46C53C2E20}"/>
    <cellStyle name="Normal 4 4 2 8 4" xfId="10637" xr:uid="{2B3D344D-589C-452C-8FDC-9088E55BB423}"/>
    <cellStyle name="Normal 4 4 2 9" xfId="2535" xr:uid="{00000000-0005-0000-0000-000062150000}"/>
    <cellStyle name="Normal 4 4 2 9 2" xfId="6818" xr:uid="{00000000-0005-0000-0000-000063150000}"/>
    <cellStyle name="Normal 4 4 2 9 2 2" xfId="15265" xr:uid="{8EBA8EB4-7364-4ABB-8BDB-1F2069CE9761}"/>
    <cellStyle name="Normal 4 4 2 9 3" xfId="11050" xr:uid="{F253FF1E-7FCE-4373-BDAD-A2A01C32B656}"/>
    <cellStyle name="Normal 4 4 3" xfId="387" xr:uid="{00000000-0005-0000-0000-000064150000}"/>
    <cellStyle name="Normal 4 4 3 10" xfId="8993" xr:uid="{BB40ADF7-0449-4A80-B4B8-F78CDC7AE30B}"/>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68" xr:uid="{A2925394-05BE-4CCA-861D-F3C078F6DAA6}"/>
    <cellStyle name="Normal 4 4 3 2 2 2 2 3" xfId="11553" xr:uid="{EAB56C78-6270-4E9B-B4E9-9304C166811F}"/>
    <cellStyle name="Normal 4 4 3 2 2 2 3" xfId="5176" xr:uid="{00000000-0005-0000-0000-00006A150000}"/>
    <cellStyle name="Normal 4 4 3 2 2 2 3 2" xfId="13623" xr:uid="{9F744669-3E8E-4C1F-B791-86A3972D295A}"/>
    <cellStyle name="Normal 4 4 3 2 2 2 4" xfId="9408" xr:uid="{807AD367-E02D-4542-8A3F-0218F78D605D}"/>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1" xr:uid="{FE226197-39F0-4FEF-9701-D48FF66B9AC7}"/>
    <cellStyle name="Normal 4 4 3 2 2 3 2 3" xfId="11966" xr:uid="{482D20C7-ED19-4B2C-80AF-B69D67DC1982}"/>
    <cellStyle name="Normal 4 4 3 2 2 3 3" xfId="5589" xr:uid="{00000000-0005-0000-0000-00006E150000}"/>
    <cellStyle name="Normal 4 4 3 2 2 3 3 2" xfId="14036" xr:uid="{3940E458-4C53-4104-9460-AC923DE84018}"/>
    <cellStyle name="Normal 4 4 3 2 2 3 4" xfId="9821" xr:uid="{B1D96535-B70C-44EB-877B-24B55751A03C}"/>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4" xr:uid="{9AEB2878-1556-4E01-9836-0D7D1252EDA1}"/>
    <cellStyle name="Normal 4 4 3 2 2 4 2 3" xfId="12379" xr:uid="{AE9E7F17-FEB6-4126-97E0-D564A0FEFB30}"/>
    <cellStyle name="Normal 4 4 3 2 2 4 3" xfId="6002" xr:uid="{00000000-0005-0000-0000-000072150000}"/>
    <cellStyle name="Normal 4 4 3 2 2 4 3 2" xfId="14449" xr:uid="{C55EA3FC-B7F8-4DA1-B35B-094DEAD6D3AC}"/>
    <cellStyle name="Normal 4 4 3 2 2 4 4" xfId="10234" xr:uid="{6A2EFAEE-78BF-4D5B-A21D-7AD3225F6F27}"/>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07" xr:uid="{288F50A9-9DAD-40E7-BA3E-CC2DD537E447}"/>
    <cellStyle name="Normal 4 4 3 2 2 5 2 3" xfId="12792" xr:uid="{9CFD405D-9635-4FDD-91B5-6FCDA5512741}"/>
    <cellStyle name="Normal 4 4 3 2 2 5 3" xfId="6415" xr:uid="{00000000-0005-0000-0000-000076150000}"/>
    <cellStyle name="Normal 4 4 3 2 2 5 3 2" xfId="14862" xr:uid="{2C3DE4C4-AD58-462C-B217-206A756FE6CB}"/>
    <cellStyle name="Normal 4 4 3 2 2 5 4" xfId="10647" xr:uid="{175E8E77-B11C-42A6-9A9B-B9024A00C505}"/>
    <cellStyle name="Normal 4 4 3 2 2 6" xfId="2545" xr:uid="{00000000-0005-0000-0000-000077150000}"/>
    <cellStyle name="Normal 4 4 3 2 2 6 2" xfId="6828" xr:uid="{00000000-0005-0000-0000-000078150000}"/>
    <cellStyle name="Normal 4 4 3 2 2 6 2 2" xfId="15275" xr:uid="{FD9BE52D-97B0-4C5F-B9C8-92F33F9C7C1D}"/>
    <cellStyle name="Normal 4 4 3 2 2 6 3" xfId="11060" xr:uid="{B824A620-9F9A-497E-A047-2D2275D4512E}"/>
    <cellStyle name="Normal 4 4 3 2 2 7" xfId="4763" xr:uid="{00000000-0005-0000-0000-000079150000}"/>
    <cellStyle name="Normal 4 4 3 2 2 7 2" xfId="13210" xr:uid="{D93D981F-AEA8-4B28-8DD5-2F27E838EC5E}"/>
    <cellStyle name="Normal 4 4 3 2 2 8" xfId="8995" xr:uid="{38647099-BF21-4575-ABC8-2D43C9D5B430}"/>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67" xr:uid="{EFFCF143-7BC1-4975-8B04-0B57734707A4}"/>
    <cellStyle name="Normal 4 4 3 2 3 2 3" xfId="11552" xr:uid="{EC504A52-763E-439D-A1F4-451EF24B880F}"/>
    <cellStyle name="Normal 4 4 3 2 3 3" xfId="5175" xr:uid="{00000000-0005-0000-0000-00007D150000}"/>
    <cellStyle name="Normal 4 4 3 2 3 3 2" xfId="13622" xr:uid="{9FA73ECA-3447-4DDA-B67C-4721D9CDEC69}"/>
    <cellStyle name="Normal 4 4 3 2 3 4" xfId="9407" xr:uid="{99332B5D-F606-4708-A8E3-5DCDDC941D16}"/>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0" xr:uid="{507F429B-3A88-4FCF-B4CC-B7A8F82D741D}"/>
    <cellStyle name="Normal 4 4 3 2 4 2 3" xfId="11965" xr:uid="{6A32FF46-567D-4E66-BFA8-DB49214822B4}"/>
    <cellStyle name="Normal 4 4 3 2 4 3" xfId="5588" xr:uid="{00000000-0005-0000-0000-000081150000}"/>
    <cellStyle name="Normal 4 4 3 2 4 3 2" xfId="14035" xr:uid="{CD6F4968-5357-40AA-A146-405DC61643B9}"/>
    <cellStyle name="Normal 4 4 3 2 4 4" xfId="9820" xr:uid="{BE45B301-422C-409E-890C-B3ACDA888709}"/>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3" xr:uid="{F4153CF7-2396-4214-85B3-41ADB6C7B2E3}"/>
    <cellStyle name="Normal 4 4 3 2 5 2 3" xfId="12378" xr:uid="{12D9D608-A802-422D-8291-3C785C6A8514}"/>
    <cellStyle name="Normal 4 4 3 2 5 3" xfId="6001" xr:uid="{00000000-0005-0000-0000-000085150000}"/>
    <cellStyle name="Normal 4 4 3 2 5 3 2" xfId="14448" xr:uid="{AF5EA0B5-C27E-4D01-B9B7-730FFD6974CC}"/>
    <cellStyle name="Normal 4 4 3 2 5 4" xfId="10233" xr:uid="{1C6F47DE-C4C5-47FB-80A7-F81C8041417C}"/>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6" xr:uid="{621199C5-86D4-4465-975D-2CFF922C3BF5}"/>
    <cellStyle name="Normal 4 4 3 2 6 2 3" xfId="12791" xr:uid="{01690C64-7CD6-47CD-8856-146F114EA450}"/>
    <cellStyle name="Normal 4 4 3 2 6 3" xfId="6414" xr:uid="{00000000-0005-0000-0000-000089150000}"/>
    <cellStyle name="Normal 4 4 3 2 6 3 2" xfId="14861" xr:uid="{20C19130-3DAC-4E42-8AA7-CC2CC3966988}"/>
    <cellStyle name="Normal 4 4 3 2 6 4" xfId="10646" xr:uid="{95E45348-ADBC-4373-BC0F-8514C0C831E0}"/>
    <cellStyle name="Normal 4 4 3 2 7" xfId="2544" xr:uid="{00000000-0005-0000-0000-00008A150000}"/>
    <cellStyle name="Normal 4 4 3 2 7 2" xfId="6827" xr:uid="{00000000-0005-0000-0000-00008B150000}"/>
    <cellStyle name="Normal 4 4 3 2 7 2 2" xfId="15274" xr:uid="{0F1F661F-5006-4DD1-B65F-57FFF6D44A5E}"/>
    <cellStyle name="Normal 4 4 3 2 7 3" xfId="11059" xr:uid="{7056F4F8-8394-4028-BC01-6DB254B54132}"/>
    <cellStyle name="Normal 4 4 3 2 8" xfId="4762" xr:uid="{00000000-0005-0000-0000-00008C150000}"/>
    <cellStyle name="Normal 4 4 3 2 8 2" xfId="13209" xr:uid="{A39EE509-95C3-4656-95B2-764DF41DF022}"/>
    <cellStyle name="Normal 4 4 3 2 9" xfId="8994" xr:uid="{4998AF38-85FC-4197-8546-FF374BDD425F}"/>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69" xr:uid="{38A5238D-3166-4950-BE70-4DA98250BFD4}"/>
    <cellStyle name="Normal 4 4 3 3 2 2 3" xfId="11554" xr:uid="{B8BF6991-6DB5-4CB0-9DE9-B98BC0614397}"/>
    <cellStyle name="Normal 4 4 3 3 2 3" xfId="5177" xr:uid="{00000000-0005-0000-0000-000091150000}"/>
    <cellStyle name="Normal 4 4 3 3 2 3 2" xfId="13624" xr:uid="{5295B7A5-C7EC-48F5-8FC4-AF8695D282A0}"/>
    <cellStyle name="Normal 4 4 3 3 2 4" xfId="9409" xr:uid="{9C2BBA04-C8B4-4A01-A975-CF054A859AC7}"/>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2" xr:uid="{C8AADC46-8715-4BD2-ACE6-86792B201175}"/>
    <cellStyle name="Normal 4 4 3 3 3 2 3" xfId="11967" xr:uid="{5367ED83-CBC4-479B-83EB-5F2885D562B3}"/>
    <cellStyle name="Normal 4 4 3 3 3 3" xfId="5590" xr:uid="{00000000-0005-0000-0000-000095150000}"/>
    <cellStyle name="Normal 4 4 3 3 3 3 2" xfId="14037" xr:uid="{5ADEF6BD-35E8-46C8-930B-C8F286ADD83F}"/>
    <cellStyle name="Normal 4 4 3 3 3 4" xfId="9822" xr:uid="{C8E0A34F-6666-4A1B-8D0E-011DDD167DA4}"/>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5" xr:uid="{970DC5E4-6868-4568-BF1F-C74B0192CEE4}"/>
    <cellStyle name="Normal 4 4 3 3 4 2 3" xfId="12380" xr:uid="{FBDA121E-12AD-4054-A66C-D8648AD14D19}"/>
    <cellStyle name="Normal 4 4 3 3 4 3" xfId="6003" xr:uid="{00000000-0005-0000-0000-000099150000}"/>
    <cellStyle name="Normal 4 4 3 3 4 3 2" xfId="14450" xr:uid="{08FD741E-7823-45C0-91A2-581C4BC4AE41}"/>
    <cellStyle name="Normal 4 4 3 3 4 4" xfId="10235" xr:uid="{8E1782C8-1226-43FB-AAB2-EEA04B9E63A7}"/>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08" xr:uid="{8C46ED21-117F-4805-9884-98B6B7308476}"/>
    <cellStyle name="Normal 4 4 3 3 5 2 3" xfId="12793" xr:uid="{27FA7D6A-F0C3-4347-9D10-8A7893A87354}"/>
    <cellStyle name="Normal 4 4 3 3 5 3" xfId="6416" xr:uid="{00000000-0005-0000-0000-00009D150000}"/>
    <cellStyle name="Normal 4 4 3 3 5 3 2" xfId="14863" xr:uid="{F989C63A-0D3A-4CDF-9217-FB2B1700C8FF}"/>
    <cellStyle name="Normal 4 4 3 3 5 4" xfId="10648" xr:uid="{83A5E710-DF60-4647-A85D-8680E32F4542}"/>
    <cellStyle name="Normal 4 4 3 3 6" xfId="2546" xr:uid="{00000000-0005-0000-0000-00009E150000}"/>
    <cellStyle name="Normal 4 4 3 3 6 2" xfId="6829" xr:uid="{00000000-0005-0000-0000-00009F150000}"/>
    <cellStyle name="Normal 4 4 3 3 6 2 2" xfId="15276" xr:uid="{77E1073E-A399-4696-AE2B-760EA74044AE}"/>
    <cellStyle name="Normal 4 4 3 3 6 3" xfId="11061" xr:uid="{043CC213-977D-41B0-B007-24894D0C43EF}"/>
    <cellStyle name="Normal 4 4 3 3 7" xfId="4764" xr:uid="{00000000-0005-0000-0000-0000A0150000}"/>
    <cellStyle name="Normal 4 4 3 3 7 2" xfId="13211" xr:uid="{55A03D36-70CE-4F61-B087-A1CF54541F04}"/>
    <cellStyle name="Normal 4 4 3 3 8" xfId="8996" xr:uid="{3A79FACE-8516-423B-9D64-FB45DE85EC36}"/>
    <cellStyle name="Normal 4 4 3 4" xfId="862" xr:uid="{00000000-0005-0000-0000-0000A1150000}"/>
    <cellStyle name="Normal 4 4 3 4 2" xfId="3097" xr:uid="{00000000-0005-0000-0000-0000A2150000}"/>
    <cellStyle name="Normal 4 4 3 4 2 2" xfId="7319" xr:uid="{00000000-0005-0000-0000-0000A3150000}"/>
    <cellStyle name="Normal 4 4 3 4 2 2 2" xfId="15766" xr:uid="{1D3B5B5A-9028-4335-9B83-FA132EADD15B}"/>
    <cellStyle name="Normal 4 4 3 4 2 3" xfId="11551" xr:uid="{4EAE7069-99A1-4620-AEF4-4EA844CB756E}"/>
    <cellStyle name="Normal 4 4 3 4 3" xfId="5174" xr:uid="{00000000-0005-0000-0000-0000A4150000}"/>
    <cellStyle name="Normal 4 4 3 4 3 2" xfId="13621" xr:uid="{E4BC981A-BFCE-4B64-9563-E530312867C5}"/>
    <cellStyle name="Normal 4 4 3 4 4" xfId="9406" xr:uid="{C8746CE2-D974-4FDE-99DC-38B1A52A412A}"/>
    <cellStyle name="Normal 4 4 3 5" xfId="1280" xr:uid="{00000000-0005-0000-0000-0000A5150000}"/>
    <cellStyle name="Normal 4 4 3 5 2" xfId="3510" xr:uid="{00000000-0005-0000-0000-0000A6150000}"/>
    <cellStyle name="Normal 4 4 3 5 2 2" xfId="7732" xr:uid="{00000000-0005-0000-0000-0000A7150000}"/>
    <cellStyle name="Normal 4 4 3 5 2 2 2" xfId="16179" xr:uid="{BE8C8D71-7AE4-4078-A2E8-DA28D2B03456}"/>
    <cellStyle name="Normal 4 4 3 5 2 3" xfId="11964" xr:uid="{0FB804E1-D6D0-4218-8C5E-3E7ABE69D7D3}"/>
    <cellStyle name="Normal 4 4 3 5 3" xfId="5587" xr:uid="{00000000-0005-0000-0000-0000A8150000}"/>
    <cellStyle name="Normal 4 4 3 5 3 2" xfId="14034" xr:uid="{EA896F35-E08D-4BD5-B28C-8284C699F1DE}"/>
    <cellStyle name="Normal 4 4 3 5 4" xfId="9819" xr:uid="{EB4243DD-4738-4D29-84DD-9ADD19981980}"/>
    <cellStyle name="Normal 4 4 3 6" xfId="1693" xr:uid="{00000000-0005-0000-0000-0000A9150000}"/>
    <cellStyle name="Normal 4 4 3 6 2" xfId="3923" xr:uid="{00000000-0005-0000-0000-0000AA150000}"/>
    <cellStyle name="Normal 4 4 3 6 2 2" xfId="8145" xr:uid="{00000000-0005-0000-0000-0000AB150000}"/>
    <cellStyle name="Normal 4 4 3 6 2 2 2" xfId="16592" xr:uid="{E4436EBC-22D8-49CE-AE5C-AC250C56AEA2}"/>
    <cellStyle name="Normal 4 4 3 6 2 3" xfId="12377" xr:uid="{38A86D9A-3E2A-4991-BB54-D9BD7F182EDC}"/>
    <cellStyle name="Normal 4 4 3 6 3" xfId="6000" xr:uid="{00000000-0005-0000-0000-0000AC150000}"/>
    <cellStyle name="Normal 4 4 3 6 3 2" xfId="14447" xr:uid="{C4525884-090D-4D22-B69B-9B40312DC3D2}"/>
    <cellStyle name="Normal 4 4 3 6 4" xfId="10232" xr:uid="{725ECC32-B08F-4D23-ABEA-9B52914749C1}"/>
    <cellStyle name="Normal 4 4 3 7" xfId="2107" xr:uid="{00000000-0005-0000-0000-0000AD150000}"/>
    <cellStyle name="Normal 4 4 3 7 2" xfId="4336" xr:uid="{00000000-0005-0000-0000-0000AE150000}"/>
    <cellStyle name="Normal 4 4 3 7 2 2" xfId="8558" xr:uid="{00000000-0005-0000-0000-0000AF150000}"/>
    <cellStyle name="Normal 4 4 3 7 2 2 2" xfId="17005" xr:uid="{2B4100B8-5921-44B5-80BB-F0820E8FFFB4}"/>
    <cellStyle name="Normal 4 4 3 7 2 3" xfId="12790" xr:uid="{E27ED3F5-8C50-423B-AE9F-6FF80D4C62D7}"/>
    <cellStyle name="Normal 4 4 3 7 3" xfId="6413" xr:uid="{00000000-0005-0000-0000-0000B0150000}"/>
    <cellStyle name="Normal 4 4 3 7 3 2" xfId="14860" xr:uid="{6B617CE5-6604-4064-B31F-13B37A599EA7}"/>
    <cellStyle name="Normal 4 4 3 7 4" xfId="10645" xr:uid="{C56431D0-ECB7-4BE5-B884-E92E28DC5535}"/>
    <cellStyle name="Normal 4 4 3 8" xfId="2543" xr:uid="{00000000-0005-0000-0000-0000B1150000}"/>
    <cellStyle name="Normal 4 4 3 8 2" xfId="6826" xr:uid="{00000000-0005-0000-0000-0000B2150000}"/>
    <cellStyle name="Normal 4 4 3 8 2 2" xfId="15273" xr:uid="{7BBDCFFC-DC67-4A11-9AE5-A3EB1250000C}"/>
    <cellStyle name="Normal 4 4 3 8 3" xfId="11058" xr:uid="{96A3A0DB-161A-4926-813B-45FE50B57A83}"/>
    <cellStyle name="Normal 4 4 3 9" xfId="4761" xr:uid="{00000000-0005-0000-0000-0000B3150000}"/>
    <cellStyle name="Normal 4 4 3 9 2" xfId="13208" xr:uid="{6C23D28E-7EC3-473B-B93A-0B9979758E5C}"/>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1" xr:uid="{7B006163-C97C-4A7F-8378-3A0A9D591AEA}"/>
    <cellStyle name="Normal 4 4 4 2 2 2 3" xfId="11556" xr:uid="{9CB7D783-442E-48B3-A630-DA9F47C9DC20}"/>
    <cellStyle name="Normal 4 4 4 2 2 3" xfId="5179" xr:uid="{00000000-0005-0000-0000-0000B9150000}"/>
    <cellStyle name="Normal 4 4 4 2 2 3 2" xfId="13626" xr:uid="{040019D3-E2F4-4A70-B910-1F1EF1F52885}"/>
    <cellStyle name="Normal 4 4 4 2 2 4" xfId="9411" xr:uid="{5D2F1774-23A4-41DD-AE24-B102CDCC1AC8}"/>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4" xr:uid="{E98AA62C-4A47-420E-8719-4328AD41B35D}"/>
    <cellStyle name="Normal 4 4 4 2 3 2 3" xfId="11969" xr:uid="{A9478E45-D38F-419B-A36A-8ACFB858E3F4}"/>
    <cellStyle name="Normal 4 4 4 2 3 3" xfId="5592" xr:uid="{00000000-0005-0000-0000-0000BD150000}"/>
    <cellStyle name="Normal 4 4 4 2 3 3 2" xfId="14039" xr:uid="{8BDA6C7C-4614-452E-991D-8440F1BFAC14}"/>
    <cellStyle name="Normal 4 4 4 2 3 4" xfId="9824" xr:uid="{3F7618A4-A889-4888-B3B4-BBBA71DDFCB9}"/>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597" xr:uid="{B5074BF0-602E-467C-8A2D-6EE9971998F8}"/>
    <cellStyle name="Normal 4 4 4 2 4 2 3" xfId="12382" xr:uid="{166F3C3E-7BAC-4C58-BED7-886911053D64}"/>
    <cellStyle name="Normal 4 4 4 2 4 3" xfId="6005" xr:uid="{00000000-0005-0000-0000-0000C1150000}"/>
    <cellStyle name="Normal 4 4 4 2 4 3 2" xfId="14452" xr:uid="{3BAD5C20-B221-4230-8D95-2BDAF479E39E}"/>
    <cellStyle name="Normal 4 4 4 2 4 4" xfId="10237" xr:uid="{FA7557EE-FD76-43E9-99F1-5020E6630596}"/>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0" xr:uid="{6448D3E9-1DDC-478E-BBB2-949EE34A8A70}"/>
    <cellStyle name="Normal 4 4 4 2 5 2 3" xfId="12795" xr:uid="{0D71C835-50D5-4629-B98C-37A50DD554EB}"/>
    <cellStyle name="Normal 4 4 4 2 5 3" xfId="6418" xr:uid="{00000000-0005-0000-0000-0000C5150000}"/>
    <cellStyle name="Normal 4 4 4 2 5 3 2" xfId="14865" xr:uid="{F533A970-6B72-43AA-A823-697E868125D8}"/>
    <cellStyle name="Normal 4 4 4 2 5 4" xfId="10650" xr:uid="{D90E1ABF-24DB-43B8-ACF8-4F92DAD2E00C}"/>
    <cellStyle name="Normal 4 4 4 2 6" xfId="2548" xr:uid="{00000000-0005-0000-0000-0000C6150000}"/>
    <cellStyle name="Normal 4 4 4 2 6 2" xfId="6831" xr:uid="{00000000-0005-0000-0000-0000C7150000}"/>
    <cellStyle name="Normal 4 4 4 2 6 2 2" xfId="15278" xr:uid="{6C3028D0-373A-46B7-82CA-38DB707BDC81}"/>
    <cellStyle name="Normal 4 4 4 2 6 3" xfId="11063" xr:uid="{8A6FF7EC-BB4C-41D3-9F5C-71620589F754}"/>
    <cellStyle name="Normal 4 4 4 2 7" xfId="4766" xr:uid="{00000000-0005-0000-0000-0000C8150000}"/>
    <cellStyle name="Normal 4 4 4 2 7 2" xfId="13213" xr:uid="{1EDBED6E-91E7-4D18-B21D-DFAE0F9BAF3A}"/>
    <cellStyle name="Normal 4 4 4 2 8" xfId="8998" xr:uid="{841E5164-6F13-4B68-A000-10ED42D47B51}"/>
    <cellStyle name="Normal 4 4 4 3" xfId="866" xr:uid="{00000000-0005-0000-0000-0000C9150000}"/>
    <cellStyle name="Normal 4 4 4 3 2" xfId="3101" xr:uid="{00000000-0005-0000-0000-0000CA150000}"/>
    <cellStyle name="Normal 4 4 4 3 2 2" xfId="7323" xr:uid="{00000000-0005-0000-0000-0000CB150000}"/>
    <cellStyle name="Normal 4 4 4 3 2 2 2" xfId="15770" xr:uid="{7CBCFA48-9E55-4AE0-B66B-809FA7AF467F}"/>
    <cellStyle name="Normal 4 4 4 3 2 3" xfId="11555" xr:uid="{8B59F5B5-A170-4DCA-8CAE-AFAAEC0B8F3A}"/>
    <cellStyle name="Normal 4 4 4 3 3" xfId="5178" xr:uid="{00000000-0005-0000-0000-0000CC150000}"/>
    <cellStyle name="Normal 4 4 4 3 3 2" xfId="13625" xr:uid="{4FE4294E-0CD3-4EDC-ACA4-88AA24B79CAE}"/>
    <cellStyle name="Normal 4 4 4 3 4" xfId="9410" xr:uid="{9A65846A-6A0F-463B-BD9A-133DA4AA462D}"/>
    <cellStyle name="Normal 4 4 4 4" xfId="1284" xr:uid="{00000000-0005-0000-0000-0000CD150000}"/>
    <cellStyle name="Normal 4 4 4 4 2" xfId="3514" xr:uid="{00000000-0005-0000-0000-0000CE150000}"/>
    <cellStyle name="Normal 4 4 4 4 2 2" xfId="7736" xr:uid="{00000000-0005-0000-0000-0000CF150000}"/>
    <cellStyle name="Normal 4 4 4 4 2 2 2" xfId="16183" xr:uid="{E9992096-2C96-415F-9FCD-DB170BD79B0D}"/>
    <cellStyle name="Normal 4 4 4 4 2 3" xfId="11968" xr:uid="{A7667BB0-86B7-4DBE-A1CD-4628A1B4E8F0}"/>
    <cellStyle name="Normal 4 4 4 4 3" xfId="5591" xr:uid="{00000000-0005-0000-0000-0000D0150000}"/>
    <cellStyle name="Normal 4 4 4 4 3 2" xfId="14038" xr:uid="{3F3B5E00-93D0-4452-83AD-C10F2D96AB4D}"/>
    <cellStyle name="Normal 4 4 4 4 4" xfId="9823" xr:uid="{D7F516C1-9C35-490F-96B5-C5F180790C47}"/>
    <cellStyle name="Normal 4 4 4 5" xfId="1697" xr:uid="{00000000-0005-0000-0000-0000D1150000}"/>
    <cellStyle name="Normal 4 4 4 5 2" xfId="3927" xr:uid="{00000000-0005-0000-0000-0000D2150000}"/>
    <cellStyle name="Normal 4 4 4 5 2 2" xfId="8149" xr:uid="{00000000-0005-0000-0000-0000D3150000}"/>
    <cellStyle name="Normal 4 4 4 5 2 2 2" xfId="16596" xr:uid="{B80FE6DF-3868-4083-898A-A39997F8E831}"/>
    <cellStyle name="Normal 4 4 4 5 2 3" xfId="12381" xr:uid="{C3847208-1E0B-451E-8E5F-8BCA933C1A1E}"/>
    <cellStyle name="Normal 4 4 4 5 3" xfId="6004" xr:uid="{00000000-0005-0000-0000-0000D4150000}"/>
    <cellStyle name="Normal 4 4 4 5 3 2" xfId="14451" xr:uid="{7C50A60C-149C-4DE2-BD01-BAA39257A357}"/>
    <cellStyle name="Normal 4 4 4 5 4" xfId="10236" xr:uid="{07728646-6876-46D9-9840-6B96E4E29DE7}"/>
    <cellStyle name="Normal 4 4 4 6" xfId="2111" xr:uid="{00000000-0005-0000-0000-0000D5150000}"/>
    <cellStyle name="Normal 4 4 4 6 2" xfId="4340" xr:uid="{00000000-0005-0000-0000-0000D6150000}"/>
    <cellStyle name="Normal 4 4 4 6 2 2" xfId="8562" xr:uid="{00000000-0005-0000-0000-0000D7150000}"/>
    <cellStyle name="Normal 4 4 4 6 2 2 2" xfId="17009" xr:uid="{208EFFB2-5564-41C6-8D97-FD7E66CEF579}"/>
    <cellStyle name="Normal 4 4 4 6 2 3" xfId="12794" xr:uid="{F4AF32EC-0D87-4E29-97A5-BB68070122BA}"/>
    <cellStyle name="Normal 4 4 4 6 3" xfId="6417" xr:uid="{00000000-0005-0000-0000-0000D8150000}"/>
    <cellStyle name="Normal 4 4 4 6 3 2" xfId="14864" xr:uid="{1548DDEF-824D-4EDF-B7DB-47B589202870}"/>
    <cellStyle name="Normal 4 4 4 6 4" xfId="10649" xr:uid="{E8666367-87CE-47D1-ABCB-D9070B90C2F2}"/>
    <cellStyle name="Normal 4 4 4 7" xfId="2547" xr:uid="{00000000-0005-0000-0000-0000D9150000}"/>
    <cellStyle name="Normal 4 4 4 7 2" xfId="6830" xr:uid="{00000000-0005-0000-0000-0000DA150000}"/>
    <cellStyle name="Normal 4 4 4 7 2 2" xfId="15277" xr:uid="{DD428090-3E26-46EF-B3C5-B3B26B0ADF91}"/>
    <cellStyle name="Normal 4 4 4 7 3" xfId="11062" xr:uid="{880964A2-67D5-44D0-9527-0100BC0079B2}"/>
    <cellStyle name="Normal 4 4 4 8" xfId="4765" xr:uid="{00000000-0005-0000-0000-0000DB150000}"/>
    <cellStyle name="Normal 4 4 4 8 2" xfId="13212" xr:uid="{D8CF3A2F-0786-4E96-A3B8-376A7DDFC523}"/>
    <cellStyle name="Normal 4 4 4 9" xfId="8997" xr:uid="{1C66DE2E-3F89-4305-8977-1426A60CA6D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2" xr:uid="{6A2EB789-4336-4450-942E-DE3F1EE8218D}"/>
    <cellStyle name="Normal 4 4 5 2 2 3" xfId="11557" xr:uid="{8A462DB3-7D45-4B8F-8C0E-92772D793699}"/>
    <cellStyle name="Normal 4 4 5 2 3" xfId="5180" xr:uid="{00000000-0005-0000-0000-0000E0150000}"/>
    <cellStyle name="Normal 4 4 5 2 3 2" xfId="13627" xr:uid="{2CAC9F3C-57EC-4C8E-86C3-7C3851A90ABD}"/>
    <cellStyle name="Normal 4 4 5 2 4" xfId="9412" xr:uid="{7CDAFCB2-8025-4669-96D7-6B6259E0CE80}"/>
    <cellStyle name="Normal 4 4 5 3" xfId="1286" xr:uid="{00000000-0005-0000-0000-0000E1150000}"/>
    <cellStyle name="Normal 4 4 5 3 2" xfId="3516" xr:uid="{00000000-0005-0000-0000-0000E2150000}"/>
    <cellStyle name="Normal 4 4 5 3 2 2" xfId="7738" xr:uid="{00000000-0005-0000-0000-0000E3150000}"/>
    <cellStyle name="Normal 4 4 5 3 2 2 2" xfId="16185" xr:uid="{C86444D6-C33A-4F1F-832C-0E399E650C16}"/>
    <cellStyle name="Normal 4 4 5 3 2 3" xfId="11970" xr:uid="{AEB1269A-C29D-48AC-9A06-B5FA33869F01}"/>
    <cellStyle name="Normal 4 4 5 3 3" xfId="5593" xr:uid="{00000000-0005-0000-0000-0000E4150000}"/>
    <cellStyle name="Normal 4 4 5 3 3 2" xfId="14040" xr:uid="{B0CBCBF5-3B51-4F40-B8F6-A7241DCCAC0B}"/>
    <cellStyle name="Normal 4 4 5 3 4" xfId="9825" xr:uid="{B5D79B25-C0C1-4B0D-88D7-EFD004F47ED7}"/>
    <cellStyle name="Normal 4 4 5 4" xfId="1699" xr:uid="{00000000-0005-0000-0000-0000E5150000}"/>
    <cellStyle name="Normal 4 4 5 4 2" xfId="3929" xr:uid="{00000000-0005-0000-0000-0000E6150000}"/>
    <cellStyle name="Normal 4 4 5 4 2 2" xfId="8151" xr:uid="{00000000-0005-0000-0000-0000E7150000}"/>
    <cellStyle name="Normal 4 4 5 4 2 2 2" xfId="16598" xr:uid="{AFF1D6F4-5CC3-4FA2-90D2-842371D7A672}"/>
    <cellStyle name="Normal 4 4 5 4 2 3" xfId="12383" xr:uid="{099F7186-36F7-41F1-B730-59C8E4950CB9}"/>
    <cellStyle name="Normal 4 4 5 4 3" xfId="6006" xr:uid="{00000000-0005-0000-0000-0000E8150000}"/>
    <cellStyle name="Normal 4 4 5 4 3 2" xfId="14453" xr:uid="{1D64FA27-A414-41D3-B5DF-E12E4AD12D09}"/>
    <cellStyle name="Normal 4 4 5 4 4" xfId="10238" xr:uid="{82F59782-2A3B-45F2-A71E-2A63C11DF58E}"/>
    <cellStyle name="Normal 4 4 5 5" xfId="2113" xr:uid="{00000000-0005-0000-0000-0000E9150000}"/>
    <cellStyle name="Normal 4 4 5 5 2" xfId="4342" xr:uid="{00000000-0005-0000-0000-0000EA150000}"/>
    <cellStyle name="Normal 4 4 5 5 2 2" xfId="8564" xr:uid="{00000000-0005-0000-0000-0000EB150000}"/>
    <cellStyle name="Normal 4 4 5 5 2 2 2" xfId="17011" xr:uid="{90CCD2C8-364F-4185-ABF7-FBA99A8BFCC0}"/>
    <cellStyle name="Normal 4 4 5 5 2 3" xfId="12796" xr:uid="{79D97D95-AA15-4600-B941-CCB9C809D5F8}"/>
    <cellStyle name="Normal 4 4 5 5 3" xfId="6419" xr:uid="{00000000-0005-0000-0000-0000EC150000}"/>
    <cellStyle name="Normal 4 4 5 5 3 2" xfId="14866" xr:uid="{C41BA3B6-0DB5-4C12-A90C-736A841CBF48}"/>
    <cellStyle name="Normal 4 4 5 5 4" xfId="10651" xr:uid="{6F2EB14D-0FD1-4A82-AAAC-5657F8B9BDA0}"/>
    <cellStyle name="Normal 4 4 5 6" xfId="2549" xr:uid="{00000000-0005-0000-0000-0000ED150000}"/>
    <cellStyle name="Normal 4 4 5 6 2" xfId="6832" xr:uid="{00000000-0005-0000-0000-0000EE150000}"/>
    <cellStyle name="Normal 4 4 5 6 2 2" xfId="15279" xr:uid="{CDBBA803-322C-40AF-90F6-D3B8C7C65251}"/>
    <cellStyle name="Normal 4 4 5 6 3" xfId="11064" xr:uid="{6C45D868-2158-47B9-AC88-46D4DC277633}"/>
    <cellStyle name="Normal 4 4 5 7" xfId="4767" xr:uid="{00000000-0005-0000-0000-0000EF150000}"/>
    <cellStyle name="Normal 4 4 5 7 2" xfId="13214" xr:uid="{B0202020-F8FC-4DF0-A0E3-AB12558F9313}"/>
    <cellStyle name="Normal 4 4 5 8" xfId="8999" xr:uid="{B00693ED-241B-4F1E-8117-3608985F6FBA}"/>
    <cellStyle name="Normal 4 4 6" xfId="853" xr:uid="{00000000-0005-0000-0000-0000F0150000}"/>
    <cellStyle name="Normal 4 4 6 2" xfId="3088" xr:uid="{00000000-0005-0000-0000-0000F1150000}"/>
    <cellStyle name="Normal 4 4 6 2 2" xfId="7310" xr:uid="{00000000-0005-0000-0000-0000F2150000}"/>
    <cellStyle name="Normal 4 4 6 2 2 2" xfId="15757" xr:uid="{F3F270B6-675A-4143-B4A4-2C5A13209BDE}"/>
    <cellStyle name="Normal 4 4 6 2 3" xfId="11542" xr:uid="{6C9F948C-5176-4657-85F6-A3E39A2900DC}"/>
    <cellStyle name="Normal 4 4 6 3" xfId="5165" xr:uid="{00000000-0005-0000-0000-0000F3150000}"/>
    <cellStyle name="Normal 4 4 6 3 2" xfId="13612" xr:uid="{E7562269-7623-4658-9169-55176D21281D}"/>
    <cellStyle name="Normal 4 4 6 4" xfId="9397" xr:uid="{5625A573-4128-418D-AA34-705A4125623D}"/>
    <cellStyle name="Normal 4 4 7" xfId="1271" xr:uid="{00000000-0005-0000-0000-0000F4150000}"/>
    <cellStyle name="Normal 4 4 7 2" xfId="3501" xr:uid="{00000000-0005-0000-0000-0000F5150000}"/>
    <cellStyle name="Normal 4 4 7 2 2" xfId="7723" xr:uid="{00000000-0005-0000-0000-0000F6150000}"/>
    <cellStyle name="Normal 4 4 7 2 2 2" xfId="16170" xr:uid="{AE4A2A08-548F-42CE-B84F-07037D4DA6C2}"/>
    <cellStyle name="Normal 4 4 7 2 3" xfId="11955" xr:uid="{4A69D374-97B7-4CC9-9B14-B66B560307C0}"/>
    <cellStyle name="Normal 4 4 7 3" xfId="5578" xr:uid="{00000000-0005-0000-0000-0000F7150000}"/>
    <cellStyle name="Normal 4 4 7 3 2" xfId="14025" xr:uid="{82FE8CAC-8108-46C0-815C-E5880844EDA1}"/>
    <cellStyle name="Normal 4 4 7 4" xfId="9810" xr:uid="{D41B9A84-9CCB-40C7-831F-EA96EFF2802E}"/>
    <cellStyle name="Normal 4 4 8" xfId="1684" xr:uid="{00000000-0005-0000-0000-0000F8150000}"/>
    <cellStyle name="Normal 4 4 8 2" xfId="3914" xr:uid="{00000000-0005-0000-0000-0000F9150000}"/>
    <cellStyle name="Normal 4 4 8 2 2" xfId="8136" xr:uid="{00000000-0005-0000-0000-0000FA150000}"/>
    <cellStyle name="Normal 4 4 8 2 2 2" xfId="16583" xr:uid="{6626B78E-3BD4-4502-8109-17C880E7B235}"/>
    <cellStyle name="Normal 4 4 8 2 3" xfId="12368" xr:uid="{D830BBCF-DC63-494E-BA2F-D5D7A01F2738}"/>
    <cellStyle name="Normal 4 4 8 3" xfId="5991" xr:uid="{00000000-0005-0000-0000-0000FB150000}"/>
    <cellStyle name="Normal 4 4 8 3 2" xfId="14438" xr:uid="{2167E17F-3318-40C0-9DA2-D7FF397BB583}"/>
    <cellStyle name="Normal 4 4 8 4" xfId="10223" xr:uid="{BD99680A-443E-4EA6-8551-1B20C0B4D663}"/>
    <cellStyle name="Normal 4 4 9" xfId="2098" xr:uid="{00000000-0005-0000-0000-0000FC150000}"/>
    <cellStyle name="Normal 4 4 9 2" xfId="4327" xr:uid="{00000000-0005-0000-0000-0000FD150000}"/>
    <cellStyle name="Normal 4 4 9 2 2" xfId="8549" xr:uid="{00000000-0005-0000-0000-0000FE150000}"/>
    <cellStyle name="Normal 4 4 9 2 2 2" xfId="16996" xr:uid="{31E8C9A4-4F18-4FE9-A2E5-92BA357EE2A1}"/>
    <cellStyle name="Normal 4 4 9 2 3" xfId="12781" xr:uid="{2022547D-D277-42B6-8566-5942996E1A19}"/>
    <cellStyle name="Normal 4 4 9 3" xfId="6404" xr:uid="{00000000-0005-0000-0000-0000FF150000}"/>
    <cellStyle name="Normal 4 4 9 3 2" xfId="14851" xr:uid="{53545C34-81EF-4EC7-8A53-C66D97DB04CD}"/>
    <cellStyle name="Normal 4 4 9 4" xfId="10636" xr:uid="{FF894D0C-6AA1-404E-8FB3-B3AD9CDF944E}"/>
    <cellStyle name="Normal 4 5" xfId="394" xr:uid="{00000000-0005-0000-0000-000000160000}"/>
    <cellStyle name="Normal 4 6" xfId="395" xr:uid="{00000000-0005-0000-0000-000001160000}"/>
    <cellStyle name="Normal 4 6 10" xfId="4768" xr:uid="{00000000-0005-0000-0000-000002160000}"/>
    <cellStyle name="Normal 4 6 10 2" xfId="13215" xr:uid="{C705FDA1-C1C5-4548-BEFC-7D5D27F2B92B}"/>
    <cellStyle name="Normal 4 6 11" xfId="9000" xr:uid="{BF839841-C8A0-460C-A73C-65935EB43FDF}"/>
    <cellStyle name="Normal 4 6 2" xfId="396" xr:uid="{00000000-0005-0000-0000-000003160000}"/>
    <cellStyle name="Normal 4 6 2 10" xfId="9001" xr:uid="{39154225-C741-41F4-9309-9C9B0F5F5CAB}"/>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6" xr:uid="{96959A11-4F2C-4853-BA1F-5E651CE18FCA}"/>
    <cellStyle name="Normal 4 6 2 2 2 2 2 3" xfId="11561" xr:uid="{3C65CABD-273A-4F55-9E52-6EAF0F5C9CDD}"/>
    <cellStyle name="Normal 4 6 2 2 2 2 3" xfId="5184" xr:uid="{00000000-0005-0000-0000-000009160000}"/>
    <cellStyle name="Normal 4 6 2 2 2 2 3 2" xfId="13631" xr:uid="{9B523996-5A5A-4522-8CB5-84C4FDD53458}"/>
    <cellStyle name="Normal 4 6 2 2 2 2 4" xfId="9416" xr:uid="{BE91144B-7B25-4407-8429-D33B56582A2E}"/>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89" xr:uid="{725D24BD-D7A8-4CB2-8169-C14FB7F1D3C9}"/>
    <cellStyle name="Normal 4 6 2 2 2 3 2 3" xfId="11974" xr:uid="{3ABD4EA2-4354-441F-ADB7-18D24188566C}"/>
    <cellStyle name="Normal 4 6 2 2 2 3 3" xfId="5597" xr:uid="{00000000-0005-0000-0000-00000D160000}"/>
    <cellStyle name="Normal 4 6 2 2 2 3 3 2" xfId="14044" xr:uid="{89BB3317-72BC-4FC9-9BAC-95839BEA9C54}"/>
    <cellStyle name="Normal 4 6 2 2 2 3 4" xfId="9829" xr:uid="{998AD44F-714A-43A8-A664-1690438A7BDE}"/>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2" xr:uid="{8B031A5E-0E60-4CBC-AB7D-3AB8F7F7A973}"/>
    <cellStyle name="Normal 4 6 2 2 2 4 2 3" xfId="12387" xr:uid="{4C69FA2B-0390-4966-94EF-69E16F5DCCFC}"/>
    <cellStyle name="Normal 4 6 2 2 2 4 3" xfId="6010" xr:uid="{00000000-0005-0000-0000-000011160000}"/>
    <cellStyle name="Normal 4 6 2 2 2 4 3 2" xfId="14457" xr:uid="{C17BF38B-FFE5-40AD-AE83-2D490CBA633B}"/>
    <cellStyle name="Normal 4 6 2 2 2 4 4" xfId="10242" xr:uid="{77EB368A-1892-4510-BFA9-799DE1EC88C9}"/>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5" xr:uid="{EF7D4749-E941-4A8B-A50E-BCB794E23410}"/>
    <cellStyle name="Normal 4 6 2 2 2 5 2 3" xfId="12800" xr:uid="{41F7F91F-1EF7-4A6A-8B74-9FF8310CB938}"/>
    <cellStyle name="Normal 4 6 2 2 2 5 3" xfId="6423" xr:uid="{00000000-0005-0000-0000-000015160000}"/>
    <cellStyle name="Normal 4 6 2 2 2 5 3 2" xfId="14870" xr:uid="{C5D0DC19-6B0F-4ECF-91B5-26BA9067BB3A}"/>
    <cellStyle name="Normal 4 6 2 2 2 5 4" xfId="10655" xr:uid="{911EB0C0-0C0A-4F4B-A0E3-E1FF10A72126}"/>
    <cellStyle name="Normal 4 6 2 2 2 6" xfId="2553" xr:uid="{00000000-0005-0000-0000-000016160000}"/>
    <cellStyle name="Normal 4 6 2 2 2 6 2" xfId="6836" xr:uid="{00000000-0005-0000-0000-000017160000}"/>
    <cellStyle name="Normal 4 6 2 2 2 6 2 2" xfId="15283" xr:uid="{05022F6C-925E-46E0-9153-413651EA21CB}"/>
    <cellStyle name="Normal 4 6 2 2 2 6 3" xfId="11068" xr:uid="{1C5CBE3B-34AE-43E1-9387-77B989B84A9D}"/>
    <cellStyle name="Normal 4 6 2 2 2 7" xfId="4771" xr:uid="{00000000-0005-0000-0000-000018160000}"/>
    <cellStyle name="Normal 4 6 2 2 2 7 2" xfId="13218" xr:uid="{6EF11CCF-D24B-4C6A-ABD8-122FC91C9064}"/>
    <cellStyle name="Normal 4 6 2 2 2 8" xfId="9003" xr:uid="{F703F440-EC92-4C04-B539-9431A720AE8D}"/>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5" xr:uid="{E83F1763-0C09-461F-B521-4686E28D13F9}"/>
    <cellStyle name="Normal 4 6 2 2 3 2 3" xfId="11560" xr:uid="{0BF70099-EA5E-4526-ADE6-7BE2D5841690}"/>
    <cellStyle name="Normal 4 6 2 2 3 3" xfId="5183" xr:uid="{00000000-0005-0000-0000-00001C160000}"/>
    <cellStyle name="Normal 4 6 2 2 3 3 2" xfId="13630" xr:uid="{517F28F3-0AA5-4F8F-8DD4-1A8054076679}"/>
    <cellStyle name="Normal 4 6 2 2 3 4" xfId="9415" xr:uid="{2A685C27-0C9D-4EA2-8C42-F75FB07C2793}"/>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88" xr:uid="{330C68D5-C2AE-4139-A37E-DE34F00BD907}"/>
    <cellStyle name="Normal 4 6 2 2 4 2 3" xfId="11973" xr:uid="{E315D9F1-0F42-4591-B3BC-82A382CB7B3A}"/>
    <cellStyle name="Normal 4 6 2 2 4 3" xfId="5596" xr:uid="{00000000-0005-0000-0000-000020160000}"/>
    <cellStyle name="Normal 4 6 2 2 4 3 2" xfId="14043" xr:uid="{5E3A5DE5-757A-4A6D-94FA-204CB3D7058C}"/>
    <cellStyle name="Normal 4 6 2 2 4 4" xfId="9828" xr:uid="{2357DFE4-2F5F-4021-9487-A6A92D8ABE86}"/>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1" xr:uid="{6511421D-DD47-45E7-BBDC-19C46C19CDCC}"/>
    <cellStyle name="Normal 4 6 2 2 5 2 3" xfId="12386" xr:uid="{92D7D7AA-2F3E-42BC-9C4A-13C47EF61C87}"/>
    <cellStyle name="Normal 4 6 2 2 5 3" xfId="6009" xr:uid="{00000000-0005-0000-0000-000024160000}"/>
    <cellStyle name="Normal 4 6 2 2 5 3 2" xfId="14456" xr:uid="{3C760ADB-1ADB-42B8-9A8F-203333AFBBE1}"/>
    <cellStyle name="Normal 4 6 2 2 5 4" xfId="10241" xr:uid="{DF3837E4-4B56-4600-B556-E6BC5AF32BED}"/>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4" xr:uid="{C2F12AA8-9F91-4F18-9E59-B09C26E811F7}"/>
    <cellStyle name="Normal 4 6 2 2 6 2 3" xfId="12799" xr:uid="{F56F005E-13CE-423A-93A6-7D4EE234E2F3}"/>
    <cellStyle name="Normal 4 6 2 2 6 3" xfId="6422" xr:uid="{00000000-0005-0000-0000-000028160000}"/>
    <cellStyle name="Normal 4 6 2 2 6 3 2" xfId="14869" xr:uid="{1A898213-0851-4990-984B-EE237291C48D}"/>
    <cellStyle name="Normal 4 6 2 2 6 4" xfId="10654" xr:uid="{6B714C8F-F56A-4691-B5C9-6A3A79584227}"/>
    <cellStyle name="Normal 4 6 2 2 7" xfId="2552" xr:uid="{00000000-0005-0000-0000-000029160000}"/>
    <cellStyle name="Normal 4 6 2 2 7 2" xfId="6835" xr:uid="{00000000-0005-0000-0000-00002A160000}"/>
    <cellStyle name="Normal 4 6 2 2 7 2 2" xfId="15282" xr:uid="{AEBB779D-F39E-4AC1-8921-B8DF315436A5}"/>
    <cellStyle name="Normal 4 6 2 2 7 3" xfId="11067" xr:uid="{9D1052B4-99C2-4A84-9BE5-B1FA79D975B3}"/>
    <cellStyle name="Normal 4 6 2 2 8" xfId="4770" xr:uid="{00000000-0005-0000-0000-00002B160000}"/>
    <cellStyle name="Normal 4 6 2 2 8 2" xfId="13217" xr:uid="{BC42127F-55CE-4001-A71B-508C180F3DD8}"/>
    <cellStyle name="Normal 4 6 2 2 9" xfId="9002" xr:uid="{B7E4F92F-C63B-4438-9363-217CF949BF79}"/>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77" xr:uid="{5221E85B-A89A-48C1-BBAF-4C23DBDE99DE}"/>
    <cellStyle name="Normal 4 6 2 3 2 2 3" xfId="11562" xr:uid="{BC21BE34-8665-4EC7-8903-D18BC5969E0A}"/>
    <cellStyle name="Normal 4 6 2 3 2 3" xfId="5185" xr:uid="{00000000-0005-0000-0000-000030160000}"/>
    <cellStyle name="Normal 4 6 2 3 2 3 2" xfId="13632" xr:uid="{A83335DD-F31B-4288-BC74-A97F309EB13D}"/>
    <cellStyle name="Normal 4 6 2 3 2 4" xfId="9417" xr:uid="{40B56DD0-01D6-499C-B39D-26719FD2BA4E}"/>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0" xr:uid="{262185C6-D245-4B3D-AC4C-4ABFF605EB00}"/>
    <cellStyle name="Normal 4 6 2 3 3 2 3" xfId="11975" xr:uid="{FADC36E6-2AB7-4D3D-836F-95A9B557A90B}"/>
    <cellStyle name="Normal 4 6 2 3 3 3" xfId="5598" xr:uid="{00000000-0005-0000-0000-000034160000}"/>
    <cellStyle name="Normal 4 6 2 3 3 3 2" xfId="14045" xr:uid="{41D3032A-11E5-4859-B06A-EAE1DC71BF60}"/>
    <cellStyle name="Normal 4 6 2 3 3 4" xfId="9830" xr:uid="{93ED2CB7-9C64-41E1-8852-065D91175267}"/>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3" xr:uid="{DC70775C-BE5F-4B65-B359-C464AB24407A}"/>
    <cellStyle name="Normal 4 6 2 3 4 2 3" xfId="12388" xr:uid="{27BC2AA9-EEC7-44BA-96E4-7481C08E33B0}"/>
    <cellStyle name="Normal 4 6 2 3 4 3" xfId="6011" xr:uid="{00000000-0005-0000-0000-000038160000}"/>
    <cellStyle name="Normal 4 6 2 3 4 3 2" xfId="14458" xr:uid="{A994CDCA-7A09-483D-A5EF-44275458242A}"/>
    <cellStyle name="Normal 4 6 2 3 4 4" xfId="10243" xr:uid="{86655F26-9A93-4A74-8C33-6186C8BAA184}"/>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6" xr:uid="{46DE0B3E-7210-4B97-9474-40AD6527E090}"/>
    <cellStyle name="Normal 4 6 2 3 5 2 3" xfId="12801" xr:uid="{ADF8F227-606A-443D-8D7C-01A7E7865A6D}"/>
    <cellStyle name="Normal 4 6 2 3 5 3" xfId="6424" xr:uid="{00000000-0005-0000-0000-00003C160000}"/>
    <cellStyle name="Normal 4 6 2 3 5 3 2" xfId="14871" xr:uid="{8814F191-464E-4308-A558-782C70594EF1}"/>
    <cellStyle name="Normal 4 6 2 3 5 4" xfId="10656" xr:uid="{141381F5-1109-4586-B61D-763A20CFF966}"/>
    <cellStyle name="Normal 4 6 2 3 6" xfId="2554" xr:uid="{00000000-0005-0000-0000-00003D160000}"/>
    <cellStyle name="Normal 4 6 2 3 6 2" xfId="6837" xr:uid="{00000000-0005-0000-0000-00003E160000}"/>
    <cellStyle name="Normal 4 6 2 3 6 2 2" xfId="15284" xr:uid="{F1FE2357-F780-4B6B-9E0B-DD0157B978D0}"/>
    <cellStyle name="Normal 4 6 2 3 6 3" xfId="11069" xr:uid="{6402630F-72B9-48BD-A5AD-6AFD559E01E2}"/>
    <cellStyle name="Normal 4 6 2 3 7" xfId="4772" xr:uid="{00000000-0005-0000-0000-00003F160000}"/>
    <cellStyle name="Normal 4 6 2 3 7 2" xfId="13219" xr:uid="{612B09B8-D7FE-4F9E-9F56-651166A2748E}"/>
    <cellStyle name="Normal 4 6 2 3 8" xfId="9004" xr:uid="{AA061085-0751-46FD-8CE1-CAAB48A96ACE}"/>
    <cellStyle name="Normal 4 6 2 4" xfId="870" xr:uid="{00000000-0005-0000-0000-000040160000}"/>
    <cellStyle name="Normal 4 6 2 4 2" xfId="3105" xr:uid="{00000000-0005-0000-0000-000041160000}"/>
    <cellStyle name="Normal 4 6 2 4 2 2" xfId="7327" xr:uid="{00000000-0005-0000-0000-000042160000}"/>
    <cellStyle name="Normal 4 6 2 4 2 2 2" xfId="15774" xr:uid="{C10C65CA-B0A8-4B71-8A74-4C1C085427D9}"/>
    <cellStyle name="Normal 4 6 2 4 2 3" xfId="11559" xr:uid="{E486B50C-E959-432A-968C-F7A9236A6FED}"/>
    <cellStyle name="Normal 4 6 2 4 3" xfId="5182" xr:uid="{00000000-0005-0000-0000-000043160000}"/>
    <cellStyle name="Normal 4 6 2 4 3 2" xfId="13629" xr:uid="{19E42F28-8109-49AA-8562-0271071781AE}"/>
    <cellStyle name="Normal 4 6 2 4 4" xfId="9414" xr:uid="{8A4FE5B9-BFA7-4195-90BE-1EB6777AFAD2}"/>
    <cellStyle name="Normal 4 6 2 5" xfId="1288" xr:uid="{00000000-0005-0000-0000-000044160000}"/>
    <cellStyle name="Normal 4 6 2 5 2" xfId="3518" xr:uid="{00000000-0005-0000-0000-000045160000}"/>
    <cellStyle name="Normal 4 6 2 5 2 2" xfId="7740" xr:uid="{00000000-0005-0000-0000-000046160000}"/>
    <cellStyle name="Normal 4 6 2 5 2 2 2" xfId="16187" xr:uid="{A5C463C2-509E-499D-AF91-658E4C66DBE8}"/>
    <cellStyle name="Normal 4 6 2 5 2 3" xfId="11972" xr:uid="{B295E556-18EC-43DB-9C09-DFC2A8D29385}"/>
    <cellStyle name="Normal 4 6 2 5 3" xfId="5595" xr:uid="{00000000-0005-0000-0000-000047160000}"/>
    <cellStyle name="Normal 4 6 2 5 3 2" xfId="14042" xr:uid="{F5224A00-E414-4816-91B4-5B47E5335BFD}"/>
    <cellStyle name="Normal 4 6 2 5 4" xfId="9827" xr:uid="{4E7ECFA5-2B18-4A7F-A7B8-A319976F5263}"/>
    <cellStyle name="Normal 4 6 2 6" xfId="1701" xr:uid="{00000000-0005-0000-0000-000048160000}"/>
    <cellStyle name="Normal 4 6 2 6 2" xfId="3931" xr:uid="{00000000-0005-0000-0000-000049160000}"/>
    <cellStyle name="Normal 4 6 2 6 2 2" xfId="8153" xr:uid="{00000000-0005-0000-0000-00004A160000}"/>
    <cellStyle name="Normal 4 6 2 6 2 2 2" xfId="16600" xr:uid="{95275F6B-F09D-4689-8D64-94764DC0C7A5}"/>
    <cellStyle name="Normal 4 6 2 6 2 3" xfId="12385" xr:uid="{42CF09FF-B9B7-4741-8221-615BE1462778}"/>
    <cellStyle name="Normal 4 6 2 6 3" xfId="6008" xr:uid="{00000000-0005-0000-0000-00004B160000}"/>
    <cellStyle name="Normal 4 6 2 6 3 2" xfId="14455" xr:uid="{F8C40230-7964-4105-9FC6-FC3DD832BCAA}"/>
    <cellStyle name="Normal 4 6 2 6 4" xfId="10240" xr:uid="{98ABE62D-1FB7-46B7-81A3-BFB2F37C3097}"/>
    <cellStyle name="Normal 4 6 2 7" xfId="2115" xr:uid="{00000000-0005-0000-0000-00004C160000}"/>
    <cellStyle name="Normal 4 6 2 7 2" xfId="4344" xr:uid="{00000000-0005-0000-0000-00004D160000}"/>
    <cellStyle name="Normal 4 6 2 7 2 2" xfId="8566" xr:uid="{00000000-0005-0000-0000-00004E160000}"/>
    <cellStyle name="Normal 4 6 2 7 2 2 2" xfId="17013" xr:uid="{76F6F518-F45E-44F8-8EE3-1B0BC72BD832}"/>
    <cellStyle name="Normal 4 6 2 7 2 3" xfId="12798" xr:uid="{6128C1C7-705B-48BC-A116-118648F862D7}"/>
    <cellStyle name="Normal 4 6 2 7 3" xfId="6421" xr:uid="{00000000-0005-0000-0000-00004F160000}"/>
    <cellStyle name="Normal 4 6 2 7 3 2" xfId="14868" xr:uid="{2C5EA8F2-1D91-4BD6-9CAE-D4FB2918CC70}"/>
    <cellStyle name="Normal 4 6 2 7 4" xfId="10653" xr:uid="{A3F0FBF1-74A5-4D83-ACBC-6DCA3D9BC72D}"/>
    <cellStyle name="Normal 4 6 2 8" xfId="2551" xr:uid="{00000000-0005-0000-0000-000050160000}"/>
    <cellStyle name="Normal 4 6 2 8 2" xfId="6834" xr:uid="{00000000-0005-0000-0000-000051160000}"/>
    <cellStyle name="Normal 4 6 2 8 2 2" xfId="15281" xr:uid="{E4D51ECD-5FB8-45AD-9CC8-40F48B507987}"/>
    <cellStyle name="Normal 4 6 2 8 3" xfId="11066" xr:uid="{7F2779B8-AC72-4AF8-A64F-A154DB4FE31E}"/>
    <cellStyle name="Normal 4 6 2 9" xfId="4769" xr:uid="{00000000-0005-0000-0000-000052160000}"/>
    <cellStyle name="Normal 4 6 2 9 2" xfId="13216" xr:uid="{14E78BAF-064A-43C5-B65B-A0F036EAD0DC}"/>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79" xr:uid="{32E1D872-FCB6-41D5-BDC3-DB99EC2B1CAB}"/>
    <cellStyle name="Normal 4 6 3 2 2 2 3" xfId="11564" xr:uid="{90E83A8A-3E4A-417D-8794-B5757CCB16B4}"/>
    <cellStyle name="Normal 4 6 3 2 2 3" xfId="5187" xr:uid="{00000000-0005-0000-0000-000058160000}"/>
    <cellStyle name="Normal 4 6 3 2 2 3 2" xfId="13634" xr:uid="{6551A80B-7C46-4E7C-AA32-26FB0E00D8C2}"/>
    <cellStyle name="Normal 4 6 3 2 2 4" xfId="9419" xr:uid="{2B7A11D2-2068-40D2-BDA4-4558BAF14FDF}"/>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2" xr:uid="{26956FF7-7C25-4CE8-B952-FDB47B437C40}"/>
    <cellStyle name="Normal 4 6 3 2 3 2 3" xfId="11977" xr:uid="{3C9472F9-2AD2-494F-A1E8-4BC78ED494C5}"/>
    <cellStyle name="Normal 4 6 3 2 3 3" xfId="5600" xr:uid="{00000000-0005-0000-0000-00005C160000}"/>
    <cellStyle name="Normal 4 6 3 2 3 3 2" xfId="14047" xr:uid="{F0469D27-46F2-4BC2-A31A-5D8338D725B6}"/>
    <cellStyle name="Normal 4 6 3 2 3 4" xfId="9832" xr:uid="{BBA134FA-B47C-4C65-A3D9-852160FD8C9E}"/>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5" xr:uid="{0E58E73C-40F2-405E-A087-17772C88E4EC}"/>
    <cellStyle name="Normal 4 6 3 2 4 2 3" xfId="12390" xr:uid="{644D2A76-11C6-4BB6-A62E-2529E82D51C6}"/>
    <cellStyle name="Normal 4 6 3 2 4 3" xfId="6013" xr:uid="{00000000-0005-0000-0000-000060160000}"/>
    <cellStyle name="Normal 4 6 3 2 4 3 2" xfId="14460" xr:uid="{00808C96-206D-4CD9-ABB3-A8C3E82892CE}"/>
    <cellStyle name="Normal 4 6 3 2 4 4" xfId="10245" xr:uid="{8532C1CE-D0BB-4335-8D4E-DF902309E114}"/>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18" xr:uid="{A08D4E48-EA32-4140-925A-0AD28D7DD4C1}"/>
    <cellStyle name="Normal 4 6 3 2 5 2 3" xfId="12803" xr:uid="{389D22B4-D135-444A-AE73-B087F92F4E97}"/>
    <cellStyle name="Normal 4 6 3 2 5 3" xfId="6426" xr:uid="{00000000-0005-0000-0000-000064160000}"/>
    <cellStyle name="Normal 4 6 3 2 5 3 2" xfId="14873" xr:uid="{93BF50BD-5374-497F-B4CC-AB553AEBF81B}"/>
    <cellStyle name="Normal 4 6 3 2 5 4" xfId="10658" xr:uid="{3CB0940F-7723-4353-A50E-AC20049511E1}"/>
    <cellStyle name="Normal 4 6 3 2 6" xfId="2556" xr:uid="{00000000-0005-0000-0000-000065160000}"/>
    <cellStyle name="Normal 4 6 3 2 6 2" xfId="6839" xr:uid="{00000000-0005-0000-0000-000066160000}"/>
    <cellStyle name="Normal 4 6 3 2 6 2 2" xfId="15286" xr:uid="{85A96B9B-521B-490A-83CA-E9554CA92353}"/>
    <cellStyle name="Normal 4 6 3 2 6 3" xfId="11071" xr:uid="{C05A7CB6-6008-46D8-B9F8-06E5AAA1732D}"/>
    <cellStyle name="Normal 4 6 3 2 7" xfId="4774" xr:uid="{00000000-0005-0000-0000-000067160000}"/>
    <cellStyle name="Normal 4 6 3 2 7 2" xfId="13221" xr:uid="{6B7442F0-B369-4627-ACF2-0685433B3D6B}"/>
    <cellStyle name="Normal 4 6 3 2 8" xfId="9006" xr:uid="{1A933624-27BD-4476-B935-989419EDD5FD}"/>
    <cellStyle name="Normal 4 6 3 3" xfId="874" xr:uid="{00000000-0005-0000-0000-000068160000}"/>
    <cellStyle name="Normal 4 6 3 3 2" xfId="3109" xr:uid="{00000000-0005-0000-0000-000069160000}"/>
    <cellStyle name="Normal 4 6 3 3 2 2" xfId="7331" xr:uid="{00000000-0005-0000-0000-00006A160000}"/>
    <cellStyle name="Normal 4 6 3 3 2 2 2" xfId="15778" xr:uid="{34FBD8E9-5146-47A3-914A-7808076A617E}"/>
    <cellStyle name="Normal 4 6 3 3 2 3" xfId="11563" xr:uid="{DF184B55-E389-4798-9684-68AFC3F8C749}"/>
    <cellStyle name="Normal 4 6 3 3 3" xfId="5186" xr:uid="{00000000-0005-0000-0000-00006B160000}"/>
    <cellStyle name="Normal 4 6 3 3 3 2" xfId="13633" xr:uid="{B9400DC1-6310-44D9-B6FB-C41CBA23C329}"/>
    <cellStyle name="Normal 4 6 3 3 4" xfId="9418" xr:uid="{7D3F29B8-0836-4E28-91C6-484A8671DC8D}"/>
    <cellStyle name="Normal 4 6 3 4" xfId="1292" xr:uid="{00000000-0005-0000-0000-00006C160000}"/>
    <cellStyle name="Normal 4 6 3 4 2" xfId="3522" xr:uid="{00000000-0005-0000-0000-00006D160000}"/>
    <cellStyle name="Normal 4 6 3 4 2 2" xfId="7744" xr:uid="{00000000-0005-0000-0000-00006E160000}"/>
    <cellStyle name="Normal 4 6 3 4 2 2 2" xfId="16191" xr:uid="{3E6A2377-71D7-4496-8511-DA2D836994BE}"/>
    <cellStyle name="Normal 4 6 3 4 2 3" xfId="11976" xr:uid="{07A1B65B-D90F-41AE-BE2A-B8DC940A443C}"/>
    <cellStyle name="Normal 4 6 3 4 3" xfId="5599" xr:uid="{00000000-0005-0000-0000-00006F160000}"/>
    <cellStyle name="Normal 4 6 3 4 3 2" xfId="14046" xr:uid="{46B0A3AA-FF9A-407A-ADF0-C914096604A0}"/>
    <cellStyle name="Normal 4 6 3 4 4" xfId="9831" xr:uid="{A4D5295F-A56D-410B-9AC8-833B0D81B1A5}"/>
    <cellStyle name="Normal 4 6 3 5" xfId="1705" xr:uid="{00000000-0005-0000-0000-000070160000}"/>
    <cellStyle name="Normal 4 6 3 5 2" xfId="3935" xr:uid="{00000000-0005-0000-0000-000071160000}"/>
    <cellStyle name="Normal 4 6 3 5 2 2" xfId="8157" xr:uid="{00000000-0005-0000-0000-000072160000}"/>
    <cellStyle name="Normal 4 6 3 5 2 2 2" xfId="16604" xr:uid="{64DD7B30-4C06-47E2-B98D-027B69B94466}"/>
    <cellStyle name="Normal 4 6 3 5 2 3" xfId="12389" xr:uid="{C5789C6E-B800-4B81-90A1-CB2BC0ED0113}"/>
    <cellStyle name="Normal 4 6 3 5 3" xfId="6012" xr:uid="{00000000-0005-0000-0000-000073160000}"/>
    <cellStyle name="Normal 4 6 3 5 3 2" xfId="14459" xr:uid="{44ACB411-EBD7-4618-967D-DD462A08C53C}"/>
    <cellStyle name="Normal 4 6 3 5 4" xfId="10244" xr:uid="{0B0818E8-26B2-4C54-AF23-794BEBD0A51D}"/>
    <cellStyle name="Normal 4 6 3 6" xfId="2119" xr:uid="{00000000-0005-0000-0000-000074160000}"/>
    <cellStyle name="Normal 4 6 3 6 2" xfId="4348" xr:uid="{00000000-0005-0000-0000-000075160000}"/>
    <cellStyle name="Normal 4 6 3 6 2 2" xfId="8570" xr:uid="{00000000-0005-0000-0000-000076160000}"/>
    <cellStyle name="Normal 4 6 3 6 2 2 2" xfId="17017" xr:uid="{1E530742-1718-4EB5-81F5-DFE520871246}"/>
    <cellStyle name="Normal 4 6 3 6 2 3" xfId="12802" xr:uid="{0BA72E5D-A878-4822-BE3B-3443B5B5FECB}"/>
    <cellStyle name="Normal 4 6 3 6 3" xfId="6425" xr:uid="{00000000-0005-0000-0000-000077160000}"/>
    <cellStyle name="Normal 4 6 3 6 3 2" xfId="14872" xr:uid="{42796549-FF40-4959-9ECA-B0817762942A}"/>
    <cellStyle name="Normal 4 6 3 6 4" xfId="10657" xr:uid="{B510E3CB-62B5-466C-AEFA-52DD33D09950}"/>
    <cellStyle name="Normal 4 6 3 7" xfId="2555" xr:uid="{00000000-0005-0000-0000-000078160000}"/>
    <cellStyle name="Normal 4 6 3 7 2" xfId="6838" xr:uid="{00000000-0005-0000-0000-000079160000}"/>
    <cellStyle name="Normal 4 6 3 7 2 2" xfId="15285" xr:uid="{CAD1018D-90EE-4518-9B48-BBDB45FEE3AF}"/>
    <cellStyle name="Normal 4 6 3 7 3" xfId="11070" xr:uid="{E930BB52-EA32-40BF-A655-06368EF46C5E}"/>
    <cellStyle name="Normal 4 6 3 8" xfId="4773" xr:uid="{00000000-0005-0000-0000-00007A160000}"/>
    <cellStyle name="Normal 4 6 3 8 2" xfId="13220" xr:uid="{A92338FC-AF1B-4238-8F6D-7746B61135D0}"/>
    <cellStyle name="Normal 4 6 3 9" xfId="9005" xr:uid="{F36C860A-6749-4276-8139-B7D49C417C56}"/>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0" xr:uid="{C28EC408-9144-46C8-9B31-3BF7E6BCCE4E}"/>
    <cellStyle name="Normal 4 6 4 2 2 3" xfId="11565" xr:uid="{B9D7A4B6-6894-4C17-BA0C-82E37CBB65AD}"/>
    <cellStyle name="Normal 4 6 4 2 3" xfId="5188" xr:uid="{00000000-0005-0000-0000-00007F160000}"/>
    <cellStyle name="Normal 4 6 4 2 3 2" xfId="13635" xr:uid="{FDDC236B-3202-4FE3-9038-A10ADDAF199C}"/>
    <cellStyle name="Normal 4 6 4 2 4" xfId="9420" xr:uid="{68E445A7-14B5-4D7A-826F-43BAAA87266A}"/>
    <cellStyle name="Normal 4 6 4 3" xfId="1294" xr:uid="{00000000-0005-0000-0000-000080160000}"/>
    <cellStyle name="Normal 4 6 4 3 2" xfId="3524" xr:uid="{00000000-0005-0000-0000-000081160000}"/>
    <cellStyle name="Normal 4 6 4 3 2 2" xfId="7746" xr:uid="{00000000-0005-0000-0000-000082160000}"/>
    <cellStyle name="Normal 4 6 4 3 2 2 2" xfId="16193" xr:uid="{BDE337FB-2AE2-49E0-9496-7D5E105C17A9}"/>
    <cellStyle name="Normal 4 6 4 3 2 3" xfId="11978" xr:uid="{6F9EDA04-0C26-47E6-960B-4061CB9EEF8C}"/>
    <cellStyle name="Normal 4 6 4 3 3" xfId="5601" xr:uid="{00000000-0005-0000-0000-000083160000}"/>
    <cellStyle name="Normal 4 6 4 3 3 2" xfId="14048" xr:uid="{4053A8F3-AF03-40C5-AB17-868EDFB8E0DF}"/>
    <cellStyle name="Normal 4 6 4 3 4" xfId="9833" xr:uid="{DECACCE6-7E8F-4CB1-B46A-0E21158B12E7}"/>
    <cellStyle name="Normal 4 6 4 4" xfId="1707" xr:uid="{00000000-0005-0000-0000-000084160000}"/>
    <cellStyle name="Normal 4 6 4 4 2" xfId="3937" xr:uid="{00000000-0005-0000-0000-000085160000}"/>
    <cellStyle name="Normal 4 6 4 4 2 2" xfId="8159" xr:uid="{00000000-0005-0000-0000-000086160000}"/>
    <cellStyle name="Normal 4 6 4 4 2 2 2" xfId="16606" xr:uid="{9BDECDF6-9C01-48DE-9343-DD116A27CA6E}"/>
    <cellStyle name="Normal 4 6 4 4 2 3" xfId="12391" xr:uid="{E4D54B31-A1EA-47A4-BEAE-683560956DDF}"/>
    <cellStyle name="Normal 4 6 4 4 3" xfId="6014" xr:uid="{00000000-0005-0000-0000-000087160000}"/>
    <cellStyle name="Normal 4 6 4 4 3 2" xfId="14461" xr:uid="{71E014C3-CA22-41F0-A69B-AEFD336E5697}"/>
    <cellStyle name="Normal 4 6 4 4 4" xfId="10246" xr:uid="{F1AA6FEE-5652-4B71-9CD5-BE2A59272C6F}"/>
    <cellStyle name="Normal 4 6 4 5" xfId="2121" xr:uid="{00000000-0005-0000-0000-000088160000}"/>
    <cellStyle name="Normal 4 6 4 5 2" xfId="4350" xr:uid="{00000000-0005-0000-0000-000089160000}"/>
    <cellStyle name="Normal 4 6 4 5 2 2" xfId="8572" xr:uid="{00000000-0005-0000-0000-00008A160000}"/>
    <cellStyle name="Normal 4 6 4 5 2 2 2" xfId="17019" xr:uid="{96FB2464-4100-4691-8091-8929E68ECDF6}"/>
    <cellStyle name="Normal 4 6 4 5 2 3" xfId="12804" xr:uid="{E23F71E4-C9E5-4E9D-8520-A6358E38A0C3}"/>
    <cellStyle name="Normal 4 6 4 5 3" xfId="6427" xr:uid="{00000000-0005-0000-0000-00008B160000}"/>
    <cellStyle name="Normal 4 6 4 5 3 2" xfId="14874" xr:uid="{7C9F100F-4EF5-4E28-937A-1AB99B503A7D}"/>
    <cellStyle name="Normal 4 6 4 5 4" xfId="10659" xr:uid="{56C81FB2-4642-42C5-B9F0-660D1A0F37F5}"/>
    <cellStyle name="Normal 4 6 4 6" xfId="2557" xr:uid="{00000000-0005-0000-0000-00008C160000}"/>
    <cellStyle name="Normal 4 6 4 6 2" xfId="6840" xr:uid="{00000000-0005-0000-0000-00008D160000}"/>
    <cellStyle name="Normal 4 6 4 6 2 2" xfId="15287" xr:uid="{C243DC67-125C-47BE-8733-941A38D4950F}"/>
    <cellStyle name="Normal 4 6 4 6 3" xfId="11072" xr:uid="{B7467C95-7F2A-4647-9A1A-3232F616CE40}"/>
    <cellStyle name="Normal 4 6 4 7" xfId="4775" xr:uid="{00000000-0005-0000-0000-00008E160000}"/>
    <cellStyle name="Normal 4 6 4 7 2" xfId="13222" xr:uid="{423C4583-9B8A-4622-A075-CEC71028655C}"/>
    <cellStyle name="Normal 4 6 4 8" xfId="9007" xr:uid="{6597CD1A-F174-4959-B1F5-DA427CAF75AC}"/>
    <cellStyle name="Normal 4 6 5" xfId="869" xr:uid="{00000000-0005-0000-0000-00008F160000}"/>
    <cellStyle name="Normal 4 6 5 2" xfId="3104" xr:uid="{00000000-0005-0000-0000-000090160000}"/>
    <cellStyle name="Normal 4 6 5 2 2" xfId="7326" xr:uid="{00000000-0005-0000-0000-000091160000}"/>
    <cellStyle name="Normal 4 6 5 2 2 2" xfId="15773" xr:uid="{15840530-48FB-4E19-8FF5-8119069A1D22}"/>
    <cellStyle name="Normal 4 6 5 2 3" xfId="11558" xr:uid="{A174D6BA-053F-43E4-953C-9D60DC4086B1}"/>
    <cellStyle name="Normal 4 6 5 3" xfId="5181" xr:uid="{00000000-0005-0000-0000-000092160000}"/>
    <cellStyle name="Normal 4 6 5 3 2" xfId="13628" xr:uid="{57987BB9-0769-4F0C-999A-57D678AFDAA9}"/>
    <cellStyle name="Normal 4 6 5 4" xfId="9413" xr:uid="{26BAFA77-A922-4572-963F-1BD0DCF88682}"/>
    <cellStyle name="Normal 4 6 6" xfId="1287" xr:uid="{00000000-0005-0000-0000-000093160000}"/>
    <cellStyle name="Normal 4 6 6 2" xfId="3517" xr:uid="{00000000-0005-0000-0000-000094160000}"/>
    <cellStyle name="Normal 4 6 6 2 2" xfId="7739" xr:uid="{00000000-0005-0000-0000-000095160000}"/>
    <cellStyle name="Normal 4 6 6 2 2 2" xfId="16186" xr:uid="{07610805-A26A-4FBD-BF64-BD067D6FC570}"/>
    <cellStyle name="Normal 4 6 6 2 3" xfId="11971" xr:uid="{7E38E1DB-C838-423D-B545-47AB2F7196B3}"/>
    <cellStyle name="Normal 4 6 6 3" xfId="5594" xr:uid="{00000000-0005-0000-0000-000096160000}"/>
    <cellStyle name="Normal 4 6 6 3 2" xfId="14041" xr:uid="{93AB3C4E-3803-4DDF-899A-75F673B6ED86}"/>
    <cellStyle name="Normal 4 6 6 4" xfId="9826" xr:uid="{0D36953F-7C59-4DEC-B6CB-F2860A8EADA6}"/>
    <cellStyle name="Normal 4 6 7" xfId="1700" xr:uid="{00000000-0005-0000-0000-000097160000}"/>
    <cellStyle name="Normal 4 6 7 2" xfId="3930" xr:uid="{00000000-0005-0000-0000-000098160000}"/>
    <cellStyle name="Normal 4 6 7 2 2" xfId="8152" xr:uid="{00000000-0005-0000-0000-000099160000}"/>
    <cellStyle name="Normal 4 6 7 2 2 2" xfId="16599" xr:uid="{3C615C4A-D829-4DBA-AACB-B281A933F583}"/>
    <cellStyle name="Normal 4 6 7 2 3" xfId="12384" xr:uid="{619D5863-8AD4-427C-8BC1-3D0814EEA304}"/>
    <cellStyle name="Normal 4 6 7 3" xfId="6007" xr:uid="{00000000-0005-0000-0000-00009A160000}"/>
    <cellStyle name="Normal 4 6 7 3 2" xfId="14454" xr:uid="{32AA5396-13F3-4F57-8FF7-9D2A93CBF259}"/>
    <cellStyle name="Normal 4 6 7 4" xfId="10239" xr:uid="{B5D8DF5C-3E41-4D4E-80C3-38A3912B4EE4}"/>
    <cellStyle name="Normal 4 6 8" xfId="2114" xr:uid="{00000000-0005-0000-0000-00009B160000}"/>
    <cellStyle name="Normal 4 6 8 2" xfId="4343" xr:uid="{00000000-0005-0000-0000-00009C160000}"/>
    <cellStyle name="Normal 4 6 8 2 2" xfId="8565" xr:uid="{00000000-0005-0000-0000-00009D160000}"/>
    <cellStyle name="Normal 4 6 8 2 2 2" xfId="17012" xr:uid="{ED7B5B9A-B069-4213-99C8-DF0174045308}"/>
    <cellStyle name="Normal 4 6 8 2 3" xfId="12797" xr:uid="{9CC57A2C-F08D-4B51-B876-FE6004BC26A0}"/>
    <cellStyle name="Normal 4 6 8 3" xfId="6420" xr:uid="{00000000-0005-0000-0000-00009E160000}"/>
    <cellStyle name="Normal 4 6 8 3 2" xfId="14867" xr:uid="{7C57907F-5D24-4BCD-8D0D-D265F5569871}"/>
    <cellStyle name="Normal 4 6 8 4" xfId="10652" xr:uid="{0FC86EBD-02B3-4D43-B614-38B179711FC3}"/>
    <cellStyle name="Normal 4 6 9" xfId="2550" xr:uid="{00000000-0005-0000-0000-00009F160000}"/>
    <cellStyle name="Normal 4 6 9 2" xfId="6833" xr:uid="{00000000-0005-0000-0000-0000A0160000}"/>
    <cellStyle name="Normal 4 6 9 2 2" xfId="15280" xr:uid="{6129B53B-FD2E-4CA3-88EE-8AF428FC7287}"/>
    <cellStyle name="Normal 4 6 9 3" xfId="11065" xr:uid="{32D1DBD0-9052-43BF-993F-C37A9C4B0B23}"/>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2" xr:uid="{14152AE2-A0FE-4983-A1D2-09B6250A2473}"/>
    <cellStyle name="Normal 4 7 2 2 2 3" xfId="11567" xr:uid="{E641E7B4-AF4A-4715-8ED5-653D3B9C6644}"/>
    <cellStyle name="Normal 4 7 2 2 3" xfId="5190" xr:uid="{00000000-0005-0000-0000-0000A6160000}"/>
    <cellStyle name="Normal 4 7 2 2 3 2" xfId="13637" xr:uid="{29B0F426-4956-441D-96F3-422091DB8BD8}"/>
    <cellStyle name="Normal 4 7 2 2 4" xfId="9422" xr:uid="{0BA3BF39-0CE0-4030-B97E-3BFA7227946E}"/>
    <cellStyle name="Normal 4 7 2 3" xfId="1296" xr:uid="{00000000-0005-0000-0000-0000A7160000}"/>
    <cellStyle name="Normal 4 7 2 3 2" xfId="3526" xr:uid="{00000000-0005-0000-0000-0000A8160000}"/>
    <cellStyle name="Normal 4 7 2 3 2 2" xfId="7748" xr:uid="{00000000-0005-0000-0000-0000A9160000}"/>
    <cellStyle name="Normal 4 7 2 3 2 2 2" xfId="16195" xr:uid="{E339F53C-1A19-4005-82F4-90A699792C9A}"/>
    <cellStyle name="Normal 4 7 2 3 2 3" xfId="11980" xr:uid="{CDE05DF3-8164-4FCE-92BD-222DCE2B40E0}"/>
    <cellStyle name="Normal 4 7 2 3 3" xfId="5603" xr:uid="{00000000-0005-0000-0000-0000AA160000}"/>
    <cellStyle name="Normal 4 7 2 3 3 2" xfId="14050" xr:uid="{655F5BCB-6677-42CC-8B75-D2421CE983F3}"/>
    <cellStyle name="Normal 4 7 2 3 4" xfId="9835" xr:uid="{AE37C4A9-1F62-4300-93EB-19976A7FADDC}"/>
    <cellStyle name="Normal 4 7 2 4" xfId="1709" xr:uid="{00000000-0005-0000-0000-0000AB160000}"/>
    <cellStyle name="Normal 4 7 2 4 2" xfId="3939" xr:uid="{00000000-0005-0000-0000-0000AC160000}"/>
    <cellStyle name="Normal 4 7 2 4 2 2" xfId="8161" xr:uid="{00000000-0005-0000-0000-0000AD160000}"/>
    <cellStyle name="Normal 4 7 2 4 2 2 2" xfId="16608" xr:uid="{FF087EC3-75A3-4AB0-83B2-E6A23BE23EF5}"/>
    <cellStyle name="Normal 4 7 2 4 2 3" xfId="12393" xr:uid="{A1D8DB39-FD21-45BA-99A1-9A785FC798EA}"/>
    <cellStyle name="Normal 4 7 2 4 3" xfId="6016" xr:uid="{00000000-0005-0000-0000-0000AE160000}"/>
    <cellStyle name="Normal 4 7 2 4 3 2" xfId="14463" xr:uid="{744C5858-27B9-461B-B879-92D44C1DAE73}"/>
    <cellStyle name="Normal 4 7 2 4 4" xfId="10248" xr:uid="{B057DA4F-A5F1-46D6-97E5-85DFF4198510}"/>
    <cellStyle name="Normal 4 7 2 5" xfId="2123" xr:uid="{00000000-0005-0000-0000-0000AF160000}"/>
    <cellStyle name="Normal 4 7 2 5 2" xfId="4352" xr:uid="{00000000-0005-0000-0000-0000B0160000}"/>
    <cellStyle name="Normal 4 7 2 5 2 2" xfId="8574" xr:uid="{00000000-0005-0000-0000-0000B1160000}"/>
    <cellStyle name="Normal 4 7 2 5 2 2 2" xfId="17021" xr:uid="{323F8C34-1D3E-4144-A927-D931C9342B2B}"/>
    <cellStyle name="Normal 4 7 2 5 2 3" xfId="12806" xr:uid="{8574DE71-A1E9-4573-B665-95A6A6C1253B}"/>
    <cellStyle name="Normal 4 7 2 5 3" xfId="6429" xr:uid="{00000000-0005-0000-0000-0000B2160000}"/>
    <cellStyle name="Normal 4 7 2 5 3 2" xfId="14876" xr:uid="{C1F87A19-A6B4-44EB-A840-55D91EB0E3BC}"/>
    <cellStyle name="Normal 4 7 2 5 4" xfId="10661" xr:uid="{32991872-A1E2-483A-A077-ABDBF43021FC}"/>
    <cellStyle name="Normal 4 7 2 6" xfId="2559" xr:uid="{00000000-0005-0000-0000-0000B3160000}"/>
    <cellStyle name="Normal 4 7 2 6 2" xfId="6842" xr:uid="{00000000-0005-0000-0000-0000B4160000}"/>
    <cellStyle name="Normal 4 7 2 6 2 2" xfId="15289" xr:uid="{7CD73420-DE08-4C6D-BC7F-2906D875459C}"/>
    <cellStyle name="Normal 4 7 2 6 3" xfId="11074" xr:uid="{ED76BF1F-8EFE-49B3-B8B3-9E9D9A017900}"/>
    <cellStyle name="Normal 4 7 2 7" xfId="4777" xr:uid="{00000000-0005-0000-0000-0000B5160000}"/>
    <cellStyle name="Normal 4 7 2 7 2" xfId="13224" xr:uid="{11452C5B-CFC3-4768-91FC-C22D03F0BB75}"/>
    <cellStyle name="Normal 4 7 2 8" xfId="9009" xr:uid="{64D30A8E-2098-48F4-BE18-E60C1218A946}"/>
    <cellStyle name="Normal 4 7 3" xfId="877" xr:uid="{00000000-0005-0000-0000-0000B6160000}"/>
    <cellStyle name="Normal 4 7 3 2" xfId="3112" xr:uid="{00000000-0005-0000-0000-0000B7160000}"/>
    <cellStyle name="Normal 4 7 3 2 2" xfId="7334" xr:uid="{00000000-0005-0000-0000-0000B8160000}"/>
    <cellStyle name="Normal 4 7 3 2 2 2" xfId="15781" xr:uid="{1F9F73D0-7CEB-4B44-8214-C0A0EF3FA6D5}"/>
    <cellStyle name="Normal 4 7 3 2 3" xfId="11566" xr:uid="{2678D0E6-50F4-4323-BF40-883F8D64D031}"/>
    <cellStyle name="Normal 4 7 3 3" xfId="5189" xr:uid="{00000000-0005-0000-0000-0000B9160000}"/>
    <cellStyle name="Normal 4 7 3 3 2" xfId="13636" xr:uid="{B96AFB2F-219C-4210-B1B8-0F8E56922A1F}"/>
    <cellStyle name="Normal 4 7 3 4" xfId="9421" xr:uid="{290D8980-CEB7-46EA-A1D5-54A6F3FEFA24}"/>
    <cellStyle name="Normal 4 7 4" xfId="1295" xr:uid="{00000000-0005-0000-0000-0000BA160000}"/>
    <cellStyle name="Normal 4 7 4 2" xfId="3525" xr:uid="{00000000-0005-0000-0000-0000BB160000}"/>
    <cellStyle name="Normal 4 7 4 2 2" xfId="7747" xr:uid="{00000000-0005-0000-0000-0000BC160000}"/>
    <cellStyle name="Normal 4 7 4 2 2 2" xfId="16194" xr:uid="{28E454FC-B758-4162-B984-F7E4B6E98963}"/>
    <cellStyle name="Normal 4 7 4 2 3" xfId="11979" xr:uid="{F4AFC3D6-DB78-4F4F-9E79-7F9F174EC1D0}"/>
    <cellStyle name="Normal 4 7 4 3" xfId="5602" xr:uid="{00000000-0005-0000-0000-0000BD160000}"/>
    <cellStyle name="Normal 4 7 4 3 2" xfId="14049" xr:uid="{B921F9AE-808D-4A69-8BA9-84C007A27A40}"/>
    <cellStyle name="Normal 4 7 4 4" xfId="9834" xr:uid="{C42F6112-9CC3-4110-9CEB-568E958B8A58}"/>
    <cellStyle name="Normal 4 7 5" xfId="1708" xr:uid="{00000000-0005-0000-0000-0000BE160000}"/>
    <cellStyle name="Normal 4 7 5 2" xfId="3938" xr:uid="{00000000-0005-0000-0000-0000BF160000}"/>
    <cellStyle name="Normal 4 7 5 2 2" xfId="8160" xr:uid="{00000000-0005-0000-0000-0000C0160000}"/>
    <cellStyle name="Normal 4 7 5 2 2 2" xfId="16607" xr:uid="{363522E2-8C48-408A-8A21-BC06B815553C}"/>
    <cellStyle name="Normal 4 7 5 2 3" xfId="12392" xr:uid="{A35CD0CC-2959-45DD-84EE-F8D8C422B762}"/>
    <cellStyle name="Normal 4 7 5 3" xfId="6015" xr:uid="{00000000-0005-0000-0000-0000C1160000}"/>
    <cellStyle name="Normal 4 7 5 3 2" xfId="14462" xr:uid="{28CDCAF2-46D5-4BA7-B582-3FB938DA94C9}"/>
    <cellStyle name="Normal 4 7 5 4" xfId="10247" xr:uid="{63B7F8D5-4D04-458C-83F8-9C1D1D313FFD}"/>
    <cellStyle name="Normal 4 7 6" xfId="2122" xr:uid="{00000000-0005-0000-0000-0000C2160000}"/>
    <cellStyle name="Normal 4 7 6 2" xfId="4351" xr:uid="{00000000-0005-0000-0000-0000C3160000}"/>
    <cellStyle name="Normal 4 7 6 2 2" xfId="8573" xr:uid="{00000000-0005-0000-0000-0000C4160000}"/>
    <cellStyle name="Normal 4 7 6 2 2 2" xfId="17020" xr:uid="{8A2D83FA-AA13-4C2C-AFA7-BC07AFBBBBD3}"/>
    <cellStyle name="Normal 4 7 6 2 3" xfId="12805" xr:uid="{EF709803-3955-496C-BC63-148253F4B787}"/>
    <cellStyle name="Normal 4 7 6 3" xfId="6428" xr:uid="{00000000-0005-0000-0000-0000C5160000}"/>
    <cellStyle name="Normal 4 7 6 3 2" xfId="14875" xr:uid="{3D660D2A-D725-4AD7-9728-396B890A0EBC}"/>
    <cellStyle name="Normal 4 7 6 4" xfId="10660" xr:uid="{9E045208-9187-4F6D-8B4B-207C8E49E484}"/>
    <cellStyle name="Normal 4 7 7" xfId="2558" xr:uid="{00000000-0005-0000-0000-0000C6160000}"/>
    <cellStyle name="Normal 4 7 7 2" xfId="6841" xr:uid="{00000000-0005-0000-0000-0000C7160000}"/>
    <cellStyle name="Normal 4 7 7 2 2" xfId="15288" xr:uid="{55772354-EA02-4E72-9465-135FCFC6AC34}"/>
    <cellStyle name="Normal 4 7 7 3" xfId="11073" xr:uid="{D8909729-C40C-48EF-BB72-68220F870323}"/>
    <cellStyle name="Normal 4 7 8" xfId="4776" xr:uid="{00000000-0005-0000-0000-0000C8160000}"/>
    <cellStyle name="Normal 4 7 8 2" xfId="13223" xr:uid="{AC6ABA6F-F2B7-4DA8-BEC1-49FF1039FFC8}"/>
    <cellStyle name="Normal 4 7 9" xfId="9008" xr:uid="{36A09EE4-E123-4496-8A46-29279D29E951}"/>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3" xr:uid="{C3B52D80-3477-4678-BBF1-B7B972AB3C8A}"/>
    <cellStyle name="Normal 4 8 2 2 3" xfId="11568" xr:uid="{481DBA3A-EBFF-47BD-A95C-EBA5374904E3}"/>
    <cellStyle name="Normal 4 8 2 3" xfId="5191" xr:uid="{00000000-0005-0000-0000-0000CD160000}"/>
    <cellStyle name="Normal 4 8 2 3 2" xfId="13638" xr:uid="{1DF1277A-EA5E-48BF-95E3-B71B44485A35}"/>
    <cellStyle name="Normal 4 8 2 4" xfId="9423" xr:uid="{14D3513A-7805-4F2D-8D63-A12B050A3DD8}"/>
    <cellStyle name="Normal 4 8 3" xfId="1297" xr:uid="{00000000-0005-0000-0000-0000CE160000}"/>
    <cellStyle name="Normal 4 8 3 2" xfId="3527" xr:uid="{00000000-0005-0000-0000-0000CF160000}"/>
    <cellStyle name="Normal 4 8 3 2 2" xfId="7749" xr:uid="{00000000-0005-0000-0000-0000D0160000}"/>
    <cellStyle name="Normal 4 8 3 2 2 2" xfId="16196" xr:uid="{04C74EE1-DA8A-4C95-B59C-5D1557F63647}"/>
    <cellStyle name="Normal 4 8 3 2 3" xfId="11981" xr:uid="{AD6A1AAF-1F7B-4F14-A869-7BB93BF8566C}"/>
    <cellStyle name="Normal 4 8 3 3" xfId="5604" xr:uid="{00000000-0005-0000-0000-0000D1160000}"/>
    <cellStyle name="Normal 4 8 3 3 2" xfId="14051" xr:uid="{2BEC7458-BB8D-47F0-9039-48D8E53F78A5}"/>
    <cellStyle name="Normal 4 8 3 4" xfId="9836" xr:uid="{D335CCD8-79EE-4472-A428-76884A4E5C09}"/>
    <cellStyle name="Normal 4 8 4" xfId="1710" xr:uid="{00000000-0005-0000-0000-0000D2160000}"/>
    <cellStyle name="Normal 4 8 4 2" xfId="3940" xr:uid="{00000000-0005-0000-0000-0000D3160000}"/>
    <cellStyle name="Normal 4 8 4 2 2" xfId="8162" xr:uid="{00000000-0005-0000-0000-0000D4160000}"/>
    <cellStyle name="Normal 4 8 4 2 2 2" xfId="16609" xr:uid="{884DCEAA-8B85-4F99-8D15-0938D438E810}"/>
    <cellStyle name="Normal 4 8 4 2 3" xfId="12394" xr:uid="{7735F6E3-723B-437D-AC43-62924969BEA7}"/>
    <cellStyle name="Normal 4 8 4 3" xfId="6017" xr:uid="{00000000-0005-0000-0000-0000D5160000}"/>
    <cellStyle name="Normal 4 8 4 3 2" xfId="14464" xr:uid="{624983E0-E29F-4BA6-968A-EB2AE14D434B}"/>
    <cellStyle name="Normal 4 8 4 4" xfId="10249" xr:uid="{E582187E-3F8C-499D-92C2-7D7E389B0D3D}"/>
    <cellStyle name="Normal 4 8 5" xfId="2124" xr:uid="{00000000-0005-0000-0000-0000D6160000}"/>
    <cellStyle name="Normal 4 8 5 2" xfId="4353" xr:uid="{00000000-0005-0000-0000-0000D7160000}"/>
    <cellStyle name="Normal 4 8 5 2 2" xfId="8575" xr:uid="{00000000-0005-0000-0000-0000D8160000}"/>
    <cellStyle name="Normal 4 8 5 2 2 2" xfId="17022" xr:uid="{FA4A4DAC-934E-449B-AB2B-BD32855C3977}"/>
    <cellStyle name="Normal 4 8 5 2 3" xfId="12807" xr:uid="{BD879E8D-1B41-451D-A063-8B45FF06E6CF}"/>
    <cellStyle name="Normal 4 8 5 3" xfId="6430" xr:uid="{00000000-0005-0000-0000-0000D9160000}"/>
    <cellStyle name="Normal 4 8 5 3 2" xfId="14877" xr:uid="{BA812C80-8012-4D03-B163-E5234040557F}"/>
    <cellStyle name="Normal 4 8 5 4" xfId="10662" xr:uid="{E6BD40E6-FA3E-4053-9CA4-4A83D74FFFA3}"/>
    <cellStyle name="Normal 4 8 6" xfId="2560" xr:uid="{00000000-0005-0000-0000-0000DA160000}"/>
    <cellStyle name="Normal 4 8 6 2" xfId="6843" xr:uid="{00000000-0005-0000-0000-0000DB160000}"/>
    <cellStyle name="Normal 4 8 6 2 2" xfId="15290" xr:uid="{B67C3399-75DE-4D90-A947-A18012D2B179}"/>
    <cellStyle name="Normal 4 8 6 3" xfId="11075" xr:uid="{A94C3527-99A1-40A6-8773-394F7D68C78F}"/>
    <cellStyle name="Normal 4 8 7" xfId="4778" xr:uid="{00000000-0005-0000-0000-0000DC160000}"/>
    <cellStyle name="Normal 4 8 7 2" xfId="13225" xr:uid="{F9C497E0-674D-40A7-9A61-38B9BE3E9059}"/>
    <cellStyle name="Normal 4 8 8" xfId="9010" xr:uid="{4D6DF280-EC04-4E56-B1C9-6CBD7E385038}"/>
    <cellStyle name="Normal 4 9" xfId="4715" xr:uid="{00000000-0005-0000-0000-0000DD160000}"/>
    <cellStyle name="Normal 4 9 2" xfId="13162" xr:uid="{841788B3-5605-44B3-9175-73CD2C93C28E}"/>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0" xr:uid="{5E14D7F6-CECA-425E-A099-8CBDA5A8CE7F}"/>
    <cellStyle name="Normal 5 10 2 3" xfId="12395" xr:uid="{776053C7-CEC6-47B1-9E73-7E314F981733}"/>
    <cellStyle name="Normal 5 10 3" xfId="6018" xr:uid="{00000000-0005-0000-0000-0000E2160000}"/>
    <cellStyle name="Normal 5 10 3 2" xfId="14465" xr:uid="{1B868DBB-C35C-47BE-AB18-833FCE8B4CCB}"/>
    <cellStyle name="Normal 5 10 4" xfId="10250" xr:uid="{B4C9C25F-236F-472B-BF03-600D5CE5A680}"/>
    <cellStyle name="Normal 5 11" xfId="2125" xr:uid="{00000000-0005-0000-0000-0000E3160000}"/>
    <cellStyle name="Normal 5 11 2" xfId="4354" xr:uid="{00000000-0005-0000-0000-0000E4160000}"/>
    <cellStyle name="Normal 5 11 2 2" xfId="8576" xr:uid="{00000000-0005-0000-0000-0000E5160000}"/>
    <cellStyle name="Normal 5 11 2 2 2" xfId="17023" xr:uid="{2B799268-2825-4169-951C-8B7EB84EBCF2}"/>
    <cellStyle name="Normal 5 11 2 3" xfId="12808" xr:uid="{07449DA2-0715-473F-AC57-D52C1F253656}"/>
    <cellStyle name="Normal 5 11 3" xfId="6431" xr:uid="{00000000-0005-0000-0000-0000E6160000}"/>
    <cellStyle name="Normal 5 11 3 2" xfId="14878" xr:uid="{961B7DFA-0B38-4BD9-A747-29653A8777BB}"/>
    <cellStyle name="Normal 5 11 4" xfId="10663" xr:uid="{F2435964-858F-4E56-A88D-8B50109BCD1A}"/>
    <cellStyle name="Normal 5 12" xfId="2561" xr:uid="{00000000-0005-0000-0000-0000E7160000}"/>
    <cellStyle name="Normal 5 12 2" xfId="6844" xr:uid="{00000000-0005-0000-0000-0000E8160000}"/>
    <cellStyle name="Normal 5 12 2 2" xfId="15291" xr:uid="{7F93C161-F7D5-4134-97F4-883AB9D5C6C8}"/>
    <cellStyle name="Normal 5 12 3" xfId="11076" xr:uid="{C82F83D7-D3B6-49B4-8D12-03B374F0C685}"/>
    <cellStyle name="Normal 5 13" xfId="4779" xr:uid="{00000000-0005-0000-0000-0000E9160000}"/>
    <cellStyle name="Normal 5 13 2" xfId="13226" xr:uid="{409876F1-EA23-4789-AEAE-38FCADFFBED0}"/>
    <cellStyle name="Normal 5 14" xfId="9011" xr:uid="{BEAB11BC-3F6F-4030-B6C3-E81A2892ECC6}"/>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4" xr:uid="{476A8AA1-5AEB-4467-B5C5-50F6A5EF3E3C}"/>
    <cellStyle name="Normal 5 2 10 2 3" xfId="12809" xr:uid="{951088F5-7436-4F9E-9BDA-B96E2A8A8B70}"/>
    <cellStyle name="Normal 5 2 10 3" xfId="6432" xr:uid="{00000000-0005-0000-0000-0000EE160000}"/>
    <cellStyle name="Normal 5 2 10 3 2" xfId="14879" xr:uid="{B0E4C3B0-21C7-4C9E-BFD5-49F89EE6079B}"/>
    <cellStyle name="Normal 5 2 10 4" xfId="10664" xr:uid="{3014A186-DE17-41C7-99F8-D18015C04823}"/>
    <cellStyle name="Normal 5 2 11" xfId="2562" xr:uid="{00000000-0005-0000-0000-0000EF160000}"/>
    <cellStyle name="Normal 5 2 11 2" xfId="6845" xr:uid="{00000000-0005-0000-0000-0000F0160000}"/>
    <cellStyle name="Normal 5 2 11 2 2" xfId="15292" xr:uid="{8452612F-F3B8-4B7B-84F6-1B25381820A1}"/>
    <cellStyle name="Normal 5 2 11 3" xfId="11077" xr:uid="{ADBC22F9-0CE6-466D-AFDD-1596EA0898D6}"/>
    <cellStyle name="Normal 5 2 12" xfId="4780" xr:uid="{00000000-0005-0000-0000-0000F1160000}"/>
    <cellStyle name="Normal 5 2 12 2" xfId="13227" xr:uid="{52CE0CA8-A024-429E-9EE5-8684BF9703A8}"/>
    <cellStyle name="Normal 5 2 13" xfId="9012" xr:uid="{F792E0A3-07D5-4C0A-9EE1-7824A640C1FE}"/>
    <cellStyle name="Normal 5 2 2" xfId="408" xr:uid="{00000000-0005-0000-0000-0000F2160000}"/>
    <cellStyle name="Normal 5 2 2 10" xfId="2563" xr:uid="{00000000-0005-0000-0000-0000F3160000}"/>
    <cellStyle name="Normal 5 2 2 10 2" xfId="6846" xr:uid="{00000000-0005-0000-0000-0000F4160000}"/>
    <cellStyle name="Normal 5 2 2 10 2 2" xfId="15293" xr:uid="{3A8844D0-E51D-4400-B2D1-CB4E0C0A7108}"/>
    <cellStyle name="Normal 5 2 2 10 3" xfId="11078" xr:uid="{66DF5863-E6E3-4EE9-9A16-14DB987CAA54}"/>
    <cellStyle name="Normal 5 2 2 11" xfId="4781" xr:uid="{00000000-0005-0000-0000-0000F5160000}"/>
    <cellStyle name="Normal 5 2 2 11 2" xfId="13228" xr:uid="{C03CF018-F554-4693-881C-C5B68CD53DB3}"/>
    <cellStyle name="Normal 5 2 2 12" xfId="9013" xr:uid="{1FBBDF64-83C8-4D46-891F-FDF6F062F826}"/>
    <cellStyle name="Normal 5 2 2 2" xfId="409" xr:uid="{00000000-0005-0000-0000-0000F6160000}"/>
    <cellStyle name="Normal 5 2 2 2 10" xfId="4782" xr:uid="{00000000-0005-0000-0000-0000F7160000}"/>
    <cellStyle name="Normal 5 2 2 2 10 2" xfId="13229" xr:uid="{946DC104-7719-487B-9B19-BD361C67B8F8}"/>
    <cellStyle name="Normal 5 2 2 2 11" xfId="9014" xr:uid="{94BE1F5D-1271-43B2-A871-CF3AF88FB600}"/>
    <cellStyle name="Normal 5 2 2 2 2" xfId="410" xr:uid="{00000000-0005-0000-0000-0000F8160000}"/>
    <cellStyle name="Normal 5 2 2 2 2 10" xfId="9015" xr:uid="{FA8271AE-A261-4443-9D0D-9CF34B7A7381}"/>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0" xr:uid="{BB69A319-D2B7-481A-8604-BD68DAF3B4C4}"/>
    <cellStyle name="Normal 5 2 2 2 2 2 2 2 2 3" xfId="11575" xr:uid="{612214C5-A02E-4968-A63B-7FC06F0D83E0}"/>
    <cellStyle name="Normal 5 2 2 2 2 2 2 2 3" xfId="5198" xr:uid="{00000000-0005-0000-0000-0000FE160000}"/>
    <cellStyle name="Normal 5 2 2 2 2 2 2 2 3 2" xfId="13645" xr:uid="{764134C6-CF5F-45E0-89FE-ADF09C7C8035}"/>
    <cellStyle name="Normal 5 2 2 2 2 2 2 2 4" xfId="9430" xr:uid="{7251F2BF-CDCD-40C9-B926-52854F80DC28}"/>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3" xr:uid="{41912B77-576A-456E-9DF6-BEBBB31A1AED}"/>
    <cellStyle name="Normal 5 2 2 2 2 2 2 3 2 3" xfId="11988" xr:uid="{396D3BB6-D586-4CDF-B974-0E294BD2E877}"/>
    <cellStyle name="Normal 5 2 2 2 2 2 2 3 3" xfId="5611" xr:uid="{00000000-0005-0000-0000-000002170000}"/>
    <cellStyle name="Normal 5 2 2 2 2 2 2 3 3 2" xfId="14058" xr:uid="{51095617-5A52-45D5-86F1-CBEC8C763542}"/>
    <cellStyle name="Normal 5 2 2 2 2 2 2 3 4" xfId="9843" xr:uid="{CC94F5B7-2B9E-46CF-9951-2315C8C49B4C}"/>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6" xr:uid="{95246CC4-C408-4926-A64E-B2B9A5B3E23A}"/>
    <cellStyle name="Normal 5 2 2 2 2 2 2 4 2 3" xfId="12401" xr:uid="{2E8206A8-75CD-419B-813D-C6B534D8039F}"/>
    <cellStyle name="Normal 5 2 2 2 2 2 2 4 3" xfId="6024" xr:uid="{00000000-0005-0000-0000-000006170000}"/>
    <cellStyle name="Normal 5 2 2 2 2 2 2 4 3 2" xfId="14471" xr:uid="{8112F978-20F0-445B-9135-5E0EB5DDD22C}"/>
    <cellStyle name="Normal 5 2 2 2 2 2 2 4 4" xfId="10256" xr:uid="{B0CF60B3-2E2D-43A8-952D-A36B871B6F56}"/>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29" xr:uid="{A86546D7-4A40-4DAC-969C-1630E8B02209}"/>
    <cellStyle name="Normal 5 2 2 2 2 2 2 5 2 3" xfId="12814" xr:uid="{9BAD2798-0697-48AE-A306-8D5DEF7A8DD6}"/>
    <cellStyle name="Normal 5 2 2 2 2 2 2 5 3" xfId="6437" xr:uid="{00000000-0005-0000-0000-00000A170000}"/>
    <cellStyle name="Normal 5 2 2 2 2 2 2 5 3 2" xfId="14884" xr:uid="{FECF9E00-C796-4152-94E2-B566B9BC9CBA}"/>
    <cellStyle name="Normal 5 2 2 2 2 2 2 5 4" xfId="10669" xr:uid="{15BD7A05-8B6C-4C31-9682-D447AB4AEFB6}"/>
    <cellStyle name="Normal 5 2 2 2 2 2 2 6" xfId="2567" xr:uid="{00000000-0005-0000-0000-00000B170000}"/>
    <cellStyle name="Normal 5 2 2 2 2 2 2 6 2" xfId="6850" xr:uid="{00000000-0005-0000-0000-00000C170000}"/>
    <cellStyle name="Normal 5 2 2 2 2 2 2 6 2 2" xfId="15297" xr:uid="{111AF4D1-5D5F-4428-9639-490F0C0C502F}"/>
    <cellStyle name="Normal 5 2 2 2 2 2 2 6 3" xfId="11082" xr:uid="{57E5C56F-836D-45C7-92D6-1439FEFAAEC9}"/>
    <cellStyle name="Normal 5 2 2 2 2 2 2 7" xfId="4785" xr:uid="{00000000-0005-0000-0000-00000D170000}"/>
    <cellStyle name="Normal 5 2 2 2 2 2 2 7 2" xfId="13232" xr:uid="{2A3D7890-8A7B-4293-AA75-61E1E30612F1}"/>
    <cellStyle name="Normal 5 2 2 2 2 2 2 8" xfId="9017" xr:uid="{AE132E39-5293-4B5B-A13F-46B21B58EFC5}"/>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89" xr:uid="{198BC63E-2D8A-4C8A-8213-736DAECBC23B}"/>
    <cellStyle name="Normal 5 2 2 2 2 2 3 2 3" xfId="11574" xr:uid="{2F72ACF4-BCBF-4225-8891-9BB9BE7EA9ED}"/>
    <cellStyle name="Normal 5 2 2 2 2 2 3 3" xfId="5197" xr:uid="{00000000-0005-0000-0000-000011170000}"/>
    <cellStyle name="Normal 5 2 2 2 2 2 3 3 2" xfId="13644" xr:uid="{280F9E7E-3B80-4FC6-8A5F-ABB035E0A65E}"/>
    <cellStyle name="Normal 5 2 2 2 2 2 3 4" xfId="9429" xr:uid="{778901F2-29B1-465F-88F5-D954319306A8}"/>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2" xr:uid="{E31F0843-BB25-4404-A5B3-7B65372CE248}"/>
    <cellStyle name="Normal 5 2 2 2 2 2 4 2 3" xfId="11987" xr:uid="{C8DBC282-4B0E-4F5D-A811-69D105A0BE9E}"/>
    <cellStyle name="Normal 5 2 2 2 2 2 4 3" xfId="5610" xr:uid="{00000000-0005-0000-0000-000015170000}"/>
    <cellStyle name="Normal 5 2 2 2 2 2 4 3 2" xfId="14057" xr:uid="{9BEB4B7D-261F-46EC-BC86-646EFBC9B64E}"/>
    <cellStyle name="Normal 5 2 2 2 2 2 4 4" xfId="9842" xr:uid="{0458764E-778B-46C3-B9BA-71CA5F8729B3}"/>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5" xr:uid="{B2263425-4509-4596-AB8C-DFC6648F498D}"/>
    <cellStyle name="Normal 5 2 2 2 2 2 5 2 3" xfId="12400" xr:uid="{8D871A48-F46C-46BA-9E62-09BA14A3A2B9}"/>
    <cellStyle name="Normal 5 2 2 2 2 2 5 3" xfId="6023" xr:uid="{00000000-0005-0000-0000-000019170000}"/>
    <cellStyle name="Normal 5 2 2 2 2 2 5 3 2" xfId="14470" xr:uid="{DFDD0526-0FD4-4E22-B256-D22316D34B6A}"/>
    <cellStyle name="Normal 5 2 2 2 2 2 5 4" xfId="10255" xr:uid="{7667CB40-316C-49F2-9FCA-97B8B5BB4C68}"/>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28" xr:uid="{BDA671EB-653A-4603-9AAE-B071BE3FD3CB}"/>
    <cellStyle name="Normal 5 2 2 2 2 2 6 2 3" xfId="12813" xr:uid="{3D9A6F72-03E2-4880-AA48-404814ABC021}"/>
    <cellStyle name="Normal 5 2 2 2 2 2 6 3" xfId="6436" xr:uid="{00000000-0005-0000-0000-00001D170000}"/>
    <cellStyle name="Normal 5 2 2 2 2 2 6 3 2" xfId="14883" xr:uid="{24F07F26-E57C-4AF7-867E-802A6FAEECBB}"/>
    <cellStyle name="Normal 5 2 2 2 2 2 6 4" xfId="10668" xr:uid="{C66D591B-B71C-4603-B711-5FC573F1DD66}"/>
    <cellStyle name="Normal 5 2 2 2 2 2 7" xfId="2566" xr:uid="{00000000-0005-0000-0000-00001E170000}"/>
    <cellStyle name="Normal 5 2 2 2 2 2 7 2" xfId="6849" xr:uid="{00000000-0005-0000-0000-00001F170000}"/>
    <cellStyle name="Normal 5 2 2 2 2 2 7 2 2" xfId="15296" xr:uid="{E1CBD666-A880-4B1A-A6B2-83274B151A5E}"/>
    <cellStyle name="Normal 5 2 2 2 2 2 7 3" xfId="11081" xr:uid="{EDD7C9AC-5071-4DDC-A2FA-A4CD5841BACA}"/>
    <cellStyle name="Normal 5 2 2 2 2 2 8" xfId="4784" xr:uid="{00000000-0005-0000-0000-000020170000}"/>
    <cellStyle name="Normal 5 2 2 2 2 2 8 2" xfId="13231" xr:uid="{DD46FA42-0127-4947-A913-C1EC4E3B8689}"/>
    <cellStyle name="Normal 5 2 2 2 2 2 9" xfId="9016" xr:uid="{0C920852-35EA-4B3A-91CF-9DFA05172682}"/>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1" xr:uid="{32E6D45A-1FD3-470A-B594-9E80F0D768C8}"/>
    <cellStyle name="Normal 5 2 2 2 2 3 2 2 3" xfId="11576" xr:uid="{05D7482B-DA09-4DF1-B15A-5D7FEF7A89D2}"/>
    <cellStyle name="Normal 5 2 2 2 2 3 2 3" xfId="5199" xr:uid="{00000000-0005-0000-0000-000025170000}"/>
    <cellStyle name="Normal 5 2 2 2 2 3 2 3 2" xfId="13646" xr:uid="{904F768E-A6B7-4D03-92C2-CEAE33C17FDE}"/>
    <cellStyle name="Normal 5 2 2 2 2 3 2 4" xfId="9431" xr:uid="{FD897A4C-0410-4F94-A33A-C4FDB9A2500B}"/>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4" xr:uid="{6FDDE1BF-96D4-4820-9CAE-307471A31DD7}"/>
    <cellStyle name="Normal 5 2 2 2 2 3 3 2 3" xfId="11989" xr:uid="{FB6659A7-25D1-4185-B40C-65F9DBCA0264}"/>
    <cellStyle name="Normal 5 2 2 2 2 3 3 3" xfId="5612" xr:uid="{00000000-0005-0000-0000-000029170000}"/>
    <cellStyle name="Normal 5 2 2 2 2 3 3 3 2" xfId="14059" xr:uid="{D0F91A25-848F-4DAB-B04D-7C9C970A6016}"/>
    <cellStyle name="Normal 5 2 2 2 2 3 3 4" xfId="9844" xr:uid="{AE61BBA6-605F-4016-8178-D76F57F73C1F}"/>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17" xr:uid="{656E8458-7005-4D13-9247-E5C28A8E644E}"/>
    <cellStyle name="Normal 5 2 2 2 2 3 4 2 3" xfId="12402" xr:uid="{34FE8867-FA28-49A2-81D8-CC556273BFE8}"/>
    <cellStyle name="Normal 5 2 2 2 2 3 4 3" xfId="6025" xr:uid="{00000000-0005-0000-0000-00002D170000}"/>
    <cellStyle name="Normal 5 2 2 2 2 3 4 3 2" xfId="14472" xr:uid="{A1220B6D-8853-4C56-BBA7-BAB1F89CC1DF}"/>
    <cellStyle name="Normal 5 2 2 2 2 3 4 4" xfId="10257" xr:uid="{9F50AE18-BB9F-4327-A6A8-F00A0ADCB4E3}"/>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0" xr:uid="{7722851A-16F8-407C-8456-98BBD6E0700E}"/>
    <cellStyle name="Normal 5 2 2 2 2 3 5 2 3" xfId="12815" xr:uid="{5A5047FD-13BD-46F8-85CF-9B1308041F3E}"/>
    <cellStyle name="Normal 5 2 2 2 2 3 5 3" xfId="6438" xr:uid="{00000000-0005-0000-0000-000031170000}"/>
    <cellStyle name="Normal 5 2 2 2 2 3 5 3 2" xfId="14885" xr:uid="{E01042D0-ECD6-40F4-8BD5-5103B0E70408}"/>
    <cellStyle name="Normal 5 2 2 2 2 3 5 4" xfId="10670" xr:uid="{C80F95CB-8158-4666-8C13-09BF8CBAC80E}"/>
    <cellStyle name="Normal 5 2 2 2 2 3 6" xfId="2568" xr:uid="{00000000-0005-0000-0000-000032170000}"/>
    <cellStyle name="Normal 5 2 2 2 2 3 6 2" xfId="6851" xr:uid="{00000000-0005-0000-0000-000033170000}"/>
    <cellStyle name="Normal 5 2 2 2 2 3 6 2 2" xfId="15298" xr:uid="{F46BDCDF-E3E6-47A1-B7B8-2C869071835A}"/>
    <cellStyle name="Normal 5 2 2 2 2 3 6 3" xfId="11083" xr:uid="{67D63864-8675-4B34-8A0C-1029BF616ECF}"/>
    <cellStyle name="Normal 5 2 2 2 2 3 7" xfId="4786" xr:uid="{00000000-0005-0000-0000-000034170000}"/>
    <cellStyle name="Normal 5 2 2 2 2 3 7 2" xfId="13233" xr:uid="{17FC0511-9C63-44CC-8E27-E02F5B56EA7B}"/>
    <cellStyle name="Normal 5 2 2 2 2 3 8" xfId="9018" xr:uid="{CD21CAEE-B044-403F-AC67-E65F4EB0E0D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88" xr:uid="{3EBB589E-62DF-4202-B8E5-C2D435FE7238}"/>
    <cellStyle name="Normal 5 2 2 2 2 4 2 3" xfId="11573" xr:uid="{701FBAA8-3C45-43E2-A487-642AB2628D3C}"/>
    <cellStyle name="Normal 5 2 2 2 2 4 3" xfId="5196" xr:uid="{00000000-0005-0000-0000-000038170000}"/>
    <cellStyle name="Normal 5 2 2 2 2 4 3 2" xfId="13643" xr:uid="{D089D2E7-F22A-41A0-8E06-A56ADE142EB7}"/>
    <cellStyle name="Normal 5 2 2 2 2 4 4" xfId="9428" xr:uid="{9752200C-22F0-4F55-9868-2D3F16D62836}"/>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1" xr:uid="{32AB34F3-4E5F-4979-AE07-AB293D7F428B}"/>
    <cellStyle name="Normal 5 2 2 2 2 5 2 3" xfId="11986" xr:uid="{4B8FFEBF-1266-46C4-BFD0-EB53E5A2059C}"/>
    <cellStyle name="Normal 5 2 2 2 2 5 3" xfId="5609" xr:uid="{00000000-0005-0000-0000-00003C170000}"/>
    <cellStyle name="Normal 5 2 2 2 2 5 3 2" xfId="14056" xr:uid="{2C86AAD8-7DE5-4940-B79D-F0A136F9D1F0}"/>
    <cellStyle name="Normal 5 2 2 2 2 5 4" xfId="9841" xr:uid="{4A0483CF-CA55-4258-B8FB-E33FD43D8F02}"/>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4" xr:uid="{BEEE3B2E-77B0-4431-95F4-048C219F258A}"/>
    <cellStyle name="Normal 5 2 2 2 2 6 2 3" xfId="12399" xr:uid="{EA7EFFF0-6BE9-4F95-9698-42A3313EA14D}"/>
    <cellStyle name="Normal 5 2 2 2 2 6 3" xfId="6022" xr:uid="{00000000-0005-0000-0000-000040170000}"/>
    <cellStyle name="Normal 5 2 2 2 2 6 3 2" xfId="14469" xr:uid="{8D8EB673-137E-483D-986E-DFBE1A45732E}"/>
    <cellStyle name="Normal 5 2 2 2 2 6 4" xfId="10254" xr:uid="{6DAA4A1C-F522-4DE7-B891-6CCE05DAED53}"/>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27" xr:uid="{875CA102-CBE9-48C4-AC1D-DEBF15F031B2}"/>
    <cellStyle name="Normal 5 2 2 2 2 7 2 3" xfId="12812" xr:uid="{F24C8727-D3D3-4F5D-BFE3-8901680074C5}"/>
    <cellStyle name="Normal 5 2 2 2 2 7 3" xfId="6435" xr:uid="{00000000-0005-0000-0000-000044170000}"/>
    <cellStyle name="Normal 5 2 2 2 2 7 3 2" xfId="14882" xr:uid="{E58432CB-F943-4DE5-9A0C-A545AC922613}"/>
    <cellStyle name="Normal 5 2 2 2 2 7 4" xfId="10667" xr:uid="{FE87070A-5918-4878-AC4D-9F52C9261907}"/>
    <cellStyle name="Normal 5 2 2 2 2 8" xfId="2565" xr:uid="{00000000-0005-0000-0000-000045170000}"/>
    <cellStyle name="Normal 5 2 2 2 2 8 2" xfId="6848" xr:uid="{00000000-0005-0000-0000-000046170000}"/>
    <cellStyle name="Normal 5 2 2 2 2 8 2 2" xfId="15295" xr:uid="{8C08EBCD-C44A-4D85-A2CE-9167B99B2860}"/>
    <cellStyle name="Normal 5 2 2 2 2 8 3" xfId="11080" xr:uid="{C55F9A6C-6AF8-4986-8EC2-CE5F85742CB4}"/>
    <cellStyle name="Normal 5 2 2 2 2 9" xfId="4783" xr:uid="{00000000-0005-0000-0000-000047170000}"/>
    <cellStyle name="Normal 5 2 2 2 2 9 2" xfId="13230" xr:uid="{2082E3C8-3E59-4880-93A2-90C1AAF56B7F}"/>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3" xr:uid="{0FBBDBAF-F542-4D1B-A07D-3EC4F44850FD}"/>
    <cellStyle name="Normal 5 2 2 2 3 2 2 2 3" xfId="11578" xr:uid="{1DFE2258-B7DF-443A-9AD0-70943D44074E}"/>
    <cellStyle name="Normal 5 2 2 2 3 2 2 3" xfId="5201" xr:uid="{00000000-0005-0000-0000-00004D170000}"/>
    <cellStyle name="Normal 5 2 2 2 3 2 2 3 2" xfId="13648" xr:uid="{686AC470-D0B0-4174-8047-FFC35F9801F8}"/>
    <cellStyle name="Normal 5 2 2 2 3 2 2 4" xfId="9433" xr:uid="{FD26CEBD-16F2-4398-A5B1-7A45483041DD}"/>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6" xr:uid="{0703CF2D-BCF1-4E74-81EC-ACA4E8BC786A}"/>
    <cellStyle name="Normal 5 2 2 2 3 2 3 2 3" xfId="11991" xr:uid="{EB62D8F0-59F9-4F1B-8436-47C3AE3D3F85}"/>
    <cellStyle name="Normal 5 2 2 2 3 2 3 3" xfId="5614" xr:uid="{00000000-0005-0000-0000-000051170000}"/>
    <cellStyle name="Normal 5 2 2 2 3 2 3 3 2" xfId="14061" xr:uid="{0E7CFBEF-B3A8-47DC-B4A9-824888D30399}"/>
    <cellStyle name="Normal 5 2 2 2 3 2 3 4" xfId="9846" xr:uid="{73034AA8-D87F-4936-A9C5-3AAD24582BFE}"/>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19" xr:uid="{98A53E9B-EE2C-427E-BE72-784B83E5049A}"/>
    <cellStyle name="Normal 5 2 2 2 3 2 4 2 3" xfId="12404" xr:uid="{E240F61E-B098-4863-8604-3E0F1972F146}"/>
    <cellStyle name="Normal 5 2 2 2 3 2 4 3" xfId="6027" xr:uid="{00000000-0005-0000-0000-000055170000}"/>
    <cellStyle name="Normal 5 2 2 2 3 2 4 3 2" xfId="14474" xr:uid="{70F907F1-C50E-42D7-A144-A3DC5AF300D7}"/>
    <cellStyle name="Normal 5 2 2 2 3 2 4 4" xfId="10259" xr:uid="{40A2B23A-0BD9-44D8-99C0-7D1F679576AA}"/>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2" xr:uid="{1C38608E-0C1B-41DC-9E48-65BC3EFD5AD7}"/>
    <cellStyle name="Normal 5 2 2 2 3 2 5 2 3" xfId="12817" xr:uid="{B78202E6-3AD9-431A-A862-970E39231DEF}"/>
    <cellStyle name="Normal 5 2 2 2 3 2 5 3" xfId="6440" xr:uid="{00000000-0005-0000-0000-000059170000}"/>
    <cellStyle name="Normal 5 2 2 2 3 2 5 3 2" xfId="14887" xr:uid="{13B23461-4E23-4C92-ABCB-F59519771C61}"/>
    <cellStyle name="Normal 5 2 2 2 3 2 5 4" xfId="10672" xr:uid="{292505A0-A4D1-4152-9468-39042622C30B}"/>
    <cellStyle name="Normal 5 2 2 2 3 2 6" xfId="2570" xr:uid="{00000000-0005-0000-0000-00005A170000}"/>
    <cellStyle name="Normal 5 2 2 2 3 2 6 2" xfId="6853" xr:uid="{00000000-0005-0000-0000-00005B170000}"/>
    <cellStyle name="Normal 5 2 2 2 3 2 6 2 2" xfId="15300" xr:uid="{A380BD3E-9C64-49C5-98BE-5755AF0F779C}"/>
    <cellStyle name="Normal 5 2 2 2 3 2 6 3" xfId="11085" xr:uid="{C59C7F2E-C0A5-4350-8275-1F8185886773}"/>
    <cellStyle name="Normal 5 2 2 2 3 2 7" xfId="4788" xr:uid="{00000000-0005-0000-0000-00005C170000}"/>
    <cellStyle name="Normal 5 2 2 2 3 2 7 2" xfId="13235" xr:uid="{356401A7-4B1E-4DB2-B856-1F1098314F4F}"/>
    <cellStyle name="Normal 5 2 2 2 3 2 8" xfId="9020" xr:uid="{E2CCC437-DF1F-46AF-9318-98118621990F}"/>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2" xr:uid="{863E9DF0-1117-4C44-B80C-F82FE2413D55}"/>
    <cellStyle name="Normal 5 2 2 2 3 3 2 3" xfId="11577" xr:uid="{6159F98D-1300-4915-8F31-4AD5E201458F}"/>
    <cellStyle name="Normal 5 2 2 2 3 3 3" xfId="5200" xr:uid="{00000000-0005-0000-0000-000060170000}"/>
    <cellStyle name="Normal 5 2 2 2 3 3 3 2" xfId="13647" xr:uid="{81D4223F-C7B9-44F7-855C-570EC4D2AB4A}"/>
    <cellStyle name="Normal 5 2 2 2 3 3 4" xfId="9432" xr:uid="{D526CCC4-1189-4F02-9D82-ED859AB2BAC5}"/>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5" xr:uid="{0C0C8D43-B31D-49C2-B98D-E6197D08F65E}"/>
    <cellStyle name="Normal 5 2 2 2 3 4 2 3" xfId="11990" xr:uid="{D40ED35F-0367-4945-BB26-D62ADCEE52B3}"/>
    <cellStyle name="Normal 5 2 2 2 3 4 3" xfId="5613" xr:uid="{00000000-0005-0000-0000-000064170000}"/>
    <cellStyle name="Normal 5 2 2 2 3 4 3 2" xfId="14060" xr:uid="{47BBE261-FC3E-4A28-BAC6-6563D17DFB9D}"/>
    <cellStyle name="Normal 5 2 2 2 3 4 4" xfId="9845" xr:uid="{2B6622B8-D98E-479B-961A-7E55B87D909B}"/>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18" xr:uid="{D05CB6A9-025B-48B3-9BEE-A4D743BC1898}"/>
    <cellStyle name="Normal 5 2 2 2 3 5 2 3" xfId="12403" xr:uid="{172294BF-7166-4663-AB5E-E660345FC978}"/>
    <cellStyle name="Normal 5 2 2 2 3 5 3" xfId="6026" xr:uid="{00000000-0005-0000-0000-000068170000}"/>
    <cellStyle name="Normal 5 2 2 2 3 5 3 2" xfId="14473" xr:uid="{73C53EF9-F460-4ED7-8AE0-5E09A96263DC}"/>
    <cellStyle name="Normal 5 2 2 2 3 5 4" xfId="10258" xr:uid="{193CBD10-39EE-4B94-87A9-E6AE7EDD7E57}"/>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1" xr:uid="{B6412C88-7A41-4E38-B855-2ED6308B3BFD}"/>
    <cellStyle name="Normal 5 2 2 2 3 6 2 3" xfId="12816" xr:uid="{C79168F1-D4D1-4A35-B25A-F8F6F4038606}"/>
    <cellStyle name="Normal 5 2 2 2 3 6 3" xfId="6439" xr:uid="{00000000-0005-0000-0000-00006C170000}"/>
    <cellStyle name="Normal 5 2 2 2 3 6 3 2" xfId="14886" xr:uid="{1805AE50-67D6-4034-9E6A-140FCC7C2CC2}"/>
    <cellStyle name="Normal 5 2 2 2 3 6 4" xfId="10671" xr:uid="{4EF50D64-F6A4-40B0-B059-CC2DF313515D}"/>
    <cellStyle name="Normal 5 2 2 2 3 7" xfId="2569" xr:uid="{00000000-0005-0000-0000-00006D170000}"/>
    <cellStyle name="Normal 5 2 2 2 3 7 2" xfId="6852" xr:uid="{00000000-0005-0000-0000-00006E170000}"/>
    <cellStyle name="Normal 5 2 2 2 3 7 2 2" xfId="15299" xr:uid="{A924F4E3-D816-420A-A84D-1526E9347A6A}"/>
    <cellStyle name="Normal 5 2 2 2 3 7 3" xfId="11084" xr:uid="{D4DA6EEA-0294-471B-B754-016D8747CAFD}"/>
    <cellStyle name="Normal 5 2 2 2 3 8" xfId="4787" xr:uid="{00000000-0005-0000-0000-00006F170000}"/>
    <cellStyle name="Normal 5 2 2 2 3 8 2" xfId="13234" xr:uid="{D9935516-F293-4724-B688-A1B5A16AE0EC}"/>
    <cellStyle name="Normal 5 2 2 2 3 9" xfId="9019" xr:uid="{D1FCF170-2AB3-480D-AF3E-B0A9CD8B02AB}"/>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4" xr:uid="{06748884-DC5A-4E9B-B7D7-3A9FD7855918}"/>
    <cellStyle name="Normal 5 2 2 2 4 2 2 3" xfId="11579" xr:uid="{725B60C1-F267-4CDC-8F6E-B64015436167}"/>
    <cellStyle name="Normal 5 2 2 2 4 2 3" xfId="5202" xr:uid="{00000000-0005-0000-0000-000074170000}"/>
    <cellStyle name="Normal 5 2 2 2 4 2 3 2" xfId="13649" xr:uid="{D26AA6CE-EB00-4B72-B722-C82B4C65D1CA}"/>
    <cellStyle name="Normal 5 2 2 2 4 2 4" xfId="9434" xr:uid="{87B2AD77-1ABF-4F19-A417-745CE4917B1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07" xr:uid="{92BFB216-C05E-495D-BD88-53A3320B8510}"/>
    <cellStyle name="Normal 5 2 2 2 4 3 2 3" xfId="11992" xr:uid="{530D8E3D-ACF8-4B57-8521-BC9589B3C0D2}"/>
    <cellStyle name="Normal 5 2 2 2 4 3 3" xfId="5615" xr:uid="{00000000-0005-0000-0000-000078170000}"/>
    <cellStyle name="Normal 5 2 2 2 4 3 3 2" xfId="14062" xr:uid="{7FBA471F-A772-4F14-B81A-97BC32E6B52A}"/>
    <cellStyle name="Normal 5 2 2 2 4 3 4" xfId="9847" xr:uid="{81FBE7BE-1500-4F6A-A313-B00593BAA61B}"/>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0" xr:uid="{8FA22B70-CD65-4E5C-9FD0-E13A4F20A664}"/>
    <cellStyle name="Normal 5 2 2 2 4 4 2 3" xfId="12405" xr:uid="{9BD9C31A-B593-42C8-8812-754E49B5C660}"/>
    <cellStyle name="Normal 5 2 2 2 4 4 3" xfId="6028" xr:uid="{00000000-0005-0000-0000-00007C170000}"/>
    <cellStyle name="Normal 5 2 2 2 4 4 3 2" xfId="14475" xr:uid="{F93FD5A9-6F57-4FFD-AFD1-1788971E1F97}"/>
    <cellStyle name="Normal 5 2 2 2 4 4 4" xfId="10260" xr:uid="{D21AC592-DB90-4AAE-A889-565BF4F24D71}"/>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3" xr:uid="{E51DA20C-E43D-4E7C-B4C9-E867C20A8DD4}"/>
    <cellStyle name="Normal 5 2 2 2 4 5 2 3" xfId="12818" xr:uid="{EDF10015-2531-40E7-B0FE-D7128271122F}"/>
    <cellStyle name="Normal 5 2 2 2 4 5 3" xfId="6441" xr:uid="{00000000-0005-0000-0000-000080170000}"/>
    <cellStyle name="Normal 5 2 2 2 4 5 3 2" xfId="14888" xr:uid="{6620FB50-9CBA-4463-81FC-2D28265C64F5}"/>
    <cellStyle name="Normal 5 2 2 2 4 5 4" xfId="10673" xr:uid="{0FCA4A15-F5F5-4D35-86A5-B0CF305922B7}"/>
    <cellStyle name="Normal 5 2 2 2 4 6" xfId="2571" xr:uid="{00000000-0005-0000-0000-000081170000}"/>
    <cellStyle name="Normal 5 2 2 2 4 6 2" xfId="6854" xr:uid="{00000000-0005-0000-0000-000082170000}"/>
    <cellStyle name="Normal 5 2 2 2 4 6 2 2" xfId="15301" xr:uid="{9F76BEB6-88DB-4210-93AF-04E3FD8FEECA}"/>
    <cellStyle name="Normal 5 2 2 2 4 6 3" xfId="11086" xr:uid="{4065A0F7-8453-4361-BA09-7278214868B4}"/>
    <cellStyle name="Normal 5 2 2 2 4 7" xfId="4789" xr:uid="{00000000-0005-0000-0000-000083170000}"/>
    <cellStyle name="Normal 5 2 2 2 4 7 2" xfId="13236" xr:uid="{1858E984-F96C-4B37-8338-75F9CBF2D13C}"/>
    <cellStyle name="Normal 5 2 2 2 4 8" xfId="9021" xr:uid="{2A2FF7C6-F23F-4487-8363-DE3AA26B49BD}"/>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87" xr:uid="{8448133E-CAF7-40EB-AE6D-0003E0D82D2A}"/>
    <cellStyle name="Normal 5 2 2 2 5 2 3" xfId="11572" xr:uid="{C5F1E575-5EC1-451E-9D37-3BF7D8615CAF}"/>
    <cellStyle name="Normal 5 2 2 2 5 3" xfId="5195" xr:uid="{00000000-0005-0000-0000-000087170000}"/>
    <cellStyle name="Normal 5 2 2 2 5 3 2" xfId="13642" xr:uid="{008AAE48-C076-46D4-B1F9-AB448E163B8F}"/>
    <cellStyle name="Normal 5 2 2 2 5 4" xfId="9427" xr:uid="{B4F18F60-D01C-4D24-84BF-480DC39EF27F}"/>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0" xr:uid="{FD1FAF8C-7BA9-4AD5-A5C9-58D46F0F0DE4}"/>
    <cellStyle name="Normal 5 2 2 2 6 2 3" xfId="11985" xr:uid="{4639E1B4-E3AA-4F18-ACD3-99C7F068C650}"/>
    <cellStyle name="Normal 5 2 2 2 6 3" xfId="5608" xr:uid="{00000000-0005-0000-0000-00008B170000}"/>
    <cellStyle name="Normal 5 2 2 2 6 3 2" xfId="14055" xr:uid="{7767DFD3-FE91-45E6-9652-7FBAA2E8B335}"/>
    <cellStyle name="Normal 5 2 2 2 6 4" xfId="9840" xr:uid="{985B3020-FF64-4C6A-881C-FF6D650EFE9D}"/>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3" xr:uid="{7BDF8A8C-8625-4165-BB1F-2EC0D77D3417}"/>
    <cellStyle name="Normal 5 2 2 2 7 2 3" xfId="12398" xr:uid="{9AB27ED8-6B49-4CAE-ACAF-B09DF41B1A75}"/>
    <cellStyle name="Normal 5 2 2 2 7 3" xfId="6021" xr:uid="{00000000-0005-0000-0000-00008F170000}"/>
    <cellStyle name="Normal 5 2 2 2 7 3 2" xfId="14468" xr:uid="{AFE0C217-3658-4046-B4BA-E9AAB0E0C170}"/>
    <cellStyle name="Normal 5 2 2 2 7 4" xfId="10253" xr:uid="{76EA6867-0637-4258-9BEC-21B17413894A}"/>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6" xr:uid="{913ACA88-FB95-4845-8776-33D5C4B91E55}"/>
    <cellStyle name="Normal 5 2 2 2 8 2 3" xfId="12811" xr:uid="{4099C851-96F3-40F4-BFA9-979C708BF397}"/>
    <cellStyle name="Normal 5 2 2 2 8 3" xfId="6434" xr:uid="{00000000-0005-0000-0000-000093170000}"/>
    <cellStyle name="Normal 5 2 2 2 8 3 2" xfId="14881" xr:uid="{60367C75-D5ED-4348-9931-8D9FD0EC4DE0}"/>
    <cellStyle name="Normal 5 2 2 2 8 4" xfId="10666" xr:uid="{C6F704A7-A188-4A62-A1B6-B0723C6DA862}"/>
    <cellStyle name="Normal 5 2 2 2 9" xfId="2564" xr:uid="{00000000-0005-0000-0000-000094170000}"/>
    <cellStyle name="Normal 5 2 2 2 9 2" xfId="6847" xr:uid="{00000000-0005-0000-0000-000095170000}"/>
    <cellStyle name="Normal 5 2 2 2 9 2 2" xfId="15294" xr:uid="{96D06202-FC6C-485E-8F4B-A9AE78BD6DF3}"/>
    <cellStyle name="Normal 5 2 2 2 9 3" xfId="11079" xr:uid="{335B778E-57B9-4F58-AB3E-C51ED2464BC0}"/>
    <cellStyle name="Normal 5 2 2 3" xfId="417" xr:uid="{00000000-0005-0000-0000-000096170000}"/>
    <cellStyle name="Normal 5 2 2 3 10" xfId="9022" xr:uid="{2B8E519B-349C-44DD-ADB7-07570BD3485B}"/>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797" xr:uid="{8B4264F1-6495-4586-A895-47037585B2AF}"/>
    <cellStyle name="Normal 5 2 2 3 2 2 2 2 3" xfId="11582" xr:uid="{8EF6AE2C-6925-4B8C-96F3-4D8C5A8235C6}"/>
    <cellStyle name="Normal 5 2 2 3 2 2 2 3" xfId="5205" xr:uid="{00000000-0005-0000-0000-00009C170000}"/>
    <cellStyle name="Normal 5 2 2 3 2 2 2 3 2" xfId="13652" xr:uid="{19A92E92-5145-43A1-8426-8B0C508249CF}"/>
    <cellStyle name="Normal 5 2 2 3 2 2 2 4" xfId="9437" xr:uid="{98EAA0DE-8218-4FF9-9295-C74A9D83F2FC}"/>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0" xr:uid="{3336AD23-E63D-480B-8631-E4D50CC95550}"/>
    <cellStyle name="Normal 5 2 2 3 2 2 3 2 3" xfId="11995" xr:uid="{A6E20EFC-09F9-4799-9188-DB5E973DD960}"/>
    <cellStyle name="Normal 5 2 2 3 2 2 3 3" xfId="5618" xr:uid="{00000000-0005-0000-0000-0000A0170000}"/>
    <cellStyle name="Normal 5 2 2 3 2 2 3 3 2" xfId="14065" xr:uid="{C20F8987-572A-4695-B24D-63822CDC2561}"/>
    <cellStyle name="Normal 5 2 2 3 2 2 3 4" xfId="9850" xr:uid="{534AB134-8D61-493F-82F0-2A473415BAA7}"/>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3" xr:uid="{DBD3BB0E-B7DD-44D8-A6EB-0DA737150EFF}"/>
    <cellStyle name="Normal 5 2 2 3 2 2 4 2 3" xfId="12408" xr:uid="{E482F3AE-0166-4FE8-9AF3-17962D12388F}"/>
    <cellStyle name="Normal 5 2 2 3 2 2 4 3" xfId="6031" xr:uid="{00000000-0005-0000-0000-0000A4170000}"/>
    <cellStyle name="Normal 5 2 2 3 2 2 4 3 2" xfId="14478" xr:uid="{A38A1628-41DA-4380-B329-20273CED5626}"/>
    <cellStyle name="Normal 5 2 2 3 2 2 4 4" xfId="10263" xr:uid="{867A3E9F-2B45-4982-AB0F-8EBAE8537DF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6" xr:uid="{DDDD3F27-FFE3-4EE6-92BE-EBF00A2D5B49}"/>
    <cellStyle name="Normal 5 2 2 3 2 2 5 2 3" xfId="12821" xr:uid="{3B88C56F-2DEF-4116-9311-5183E9E8919E}"/>
    <cellStyle name="Normal 5 2 2 3 2 2 5 3" xfId="6444" xr:uid="{00000000-0005-0000-0000-0000A8170000}"/>
    <cellStyle name="Normal 5 2 2 3 2 2 5 3 2" xfId="14891" xr:uid="{4F3DC232-E440-4024-A730-BA142C3A1BAF}"/>
    <cellStyle name="Normal 5 2 2 3 2 2 5 4" xfId="10676" xr:uid="{C6592AEC-F561-468D-BEC4-3E5D4B255EA7}"/>
    <cellStyle name="Normal 5 2 2 3 2 2 6" xfId="2574" xr:uid="{00000000-0005-0000-0000-0000A9170000}"/>
    <cellStyle name="Normal 5 2 2 3 2 2 6 2" xfId="6857" xr:uid="{00000000-0005-0000-0000-0000AA170000}"/>
    <cellStyle name="Normal 5 2 2 3 2 2 6 2 2" xfId="15304" xr:uid="{E9C84983-36D5-40DB-821D-177A6D7AABCE}"/>
    <cellStyle name="Normal 5 2 2 3 2 2 6 3" xfId="11089" xr:uid="{77277AE4-C95F-4231-809D-81D4C4B17513}"/>
    <cellStyle name="Normal 5 2 2 3 2 2 7" xfId="4792" xr:uid="{00000000-0005-0000-0000-0000AB170000}"/>
    <cellStyle name="Normal 5 2 2 3 2 2 7 2" xfId="13239" xr:uid="{35F2D112-A084-4660-A9F4-79C749FF8E21}"/>
    <cellStyle name="Normal 5 2 2 3 2 2 8" xfId="9024" xr:uid="{FA38A03A-6437-4495-B3CB-15FEA171B79C}"/>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6" xr:uid="{440F2926-1158-4BE0-9B1B-9B8777254172}"/>
    <cellStyle name="Normal 5 2 2 3 2 3 2 3" xfId="11581" xr:uid="{D36AFC40-28A7-45B6-BF0F-6DF2FBEE35BA}"/>
    <cellStyle name="Normal 5 2 2 3 2 3 3" xfId="5204" xr:uid="{00000000-0005-0000-0000-0000AF170000}"/>
    <cellStyle name="Normal 5 2 2 3 2 3 3 2" xfId="13651" xr:uid="{BA87BCE8-D7F1-41D9-864E-B0281FA41BD0}"/>
    <cellStyle name="Normal 5 2 2 3 2 3 4" xfId="9436" xr:uid="{10C3F702-4528-41DA-A257-5EEE4066C21A}"/>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09" xr:uid="{6C749267-FB2A-48F3-A546-3178D2179960}"/>
    <cellStyle name="Normal 5 2 2 3 2 4 2 3" xfId="11994" xr:uid="{A984834F-1ED3-4F17-9DF6-4E3F5AEC1E81}"/>
    <cellStyle name="Normal 5 2 2 3 2 4 3" xfId="5617" xr:uid="{00000000-0005-0000-0000-0000B3170000}"/>
    <cellStyle name="Normal 5 2 2 3 2 4 3 2" xfId="14064" xr:uid="{8A50F1AC-9F8B-4EEA-BFCC-85BAD570036F}"/>
    <cellStyle name="Normal 5 2 2 3 2 4 4" xfId="9849" xr:uid="{1067F6E6-1ECF-43CC-8CD5-D4A1C3B3A5E2}"/>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2" xr:uid="{4FA4DE8F-1B6B-44F4-BFE1-363D11244915}"/>
    <cellStyle name="Normal 5 2 2 3 2 5 2 3" xfId="12407" xr:uid="{6C1F721F-848B-4216-B379-2442F16B2AE2}"/>
    <cellStyle name="Normal 5 2 2 3 2 5 3" xfId="6030" xr:uid="{00000000-0005-0000-0000-0000B7170000}"/>
    <cellStyle name="Normal 5 2 2 3 2 5 3 2" xfId="14477" xr:uid="{81A12516-BEEB-4704-B7B0-EDC988613F00}"/>
    <cellStyle name="Normal 5 2 2 3 2 5 4" xfId="10262" xr:uid="{B0AC3C96-B6DB-4B57-8502-AC938687436D}"/>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5" xr:uid="{6C7DAFA3-452D-42B5-B0EC-FEA69E6189CE}"/>
    <cellStyle name="Normal 5 2 2 3 2 6 2 3" xfId="12820" xr:uid="{50246DD8-D3AA-426B-B5B8-B3CC3FBC088B}"/>
    <cellStyle name="Normal 5 2 2 3 2 6 3" xfId="6443" xr:uid="{00000000-0005-0000-0000-0000BB170000}"/>
    <cellStyle name="Normal 5 2 2 3 2 6 3 2" xfId="14890" xr:uid="{D12BE578-63A8-4646-9E7F-075554DB31CA}"/>
    <cellStyle name="Normal 5 2 2 3 2 6 4" xfId="10675" xr:uid="{5837145B-441E-4FEB-BE2B-85A52CD1A7AF}"/>
    <cellStyle name="Normal 5 2 2 3 2 7" xfId="2573" xr:uid="{00000000-0005-0000-0000-0000BC170000}"/>
    <cellStyle name="Normal 5 2 2 3 2 7 2" xfId="6856" xr:uid="{00000000-0005-0000-0000-0000BD170000}"/>
    <cellStyle name="Normal 5 2 2 3 2 7 2 2" xfId="15303" xr:uid="{F54FB90A-E06A-4605-B82E-116C0C508EEE}"/>
    <cellStyle name="Normal 5 2 2 3 2 7 3" xfId="11088" xr:uid="{11F47714-23E1-4A57-89A2-A8AC9F64489C}"/>
    <cellStyle name="Normal 5 2 2 3 2 8" xfId="4791" xr:uid="{00000000-0005-0000-0000-0000BE170000}"/>
    <cellStyle name="Normal 5 2 2 3 2 8 2" xfId="13238" xr:uid="{9DF85CDF-6B39-4E24-8F20-F43A7905EB9B}"/>
    <cellStyle name="Normal 5 2 2 3 2 9" xfId="9023" xr:uid="{83F71A36-04DB-4C49-A3CD-EB20CB7A16EC}"/>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798" xr:uid="{FCB3351C-CD14-4981-9F77-95D76DABF7FE}"/>
    <cellStyle name="Normal 5 2 2 3 3 2 2 3" xfId="11583" xr:uid="{ED1079F7-58EA-4C92-9A3A-A88791C5CB8E}"/>
    <cellStyle name="Normal 5 2 2 3 3 2 3" xfId="5206" xr:uid="{00000000-0005-0000-0000-0000C3170000}"/>
    <cellStyle name="Normal 5 2 2 3 3 2 3 2" xfId="13653" xr:uid="{F22CA529-D664-4A1D-80C5-2B142AA7731F}"/>
    <cellStyle name="Normal 5 2 2 3 3 2 4" xfId="9438" xr:uid="{D879D59D-1EAF-43C3-87A1-4E1E70DCE5D6}"/>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1" xr:uid="{289C9B01-1172-4514-A75C-088B46FD21E5}"/>
    <cellStyle name="Normal 5 2 2 3 3 3 2 3" xfId="11996" xr:uid="{59C51ACB-861C-491E-93E4-594C57E8B21C}"/>
    <cellStyle name="Normal 5 2 2 3 3 3 3" xfId="5619" xr:uid="{00000000-0005-0000-0000-0000C7170000}"/>
    <cellStyle name="Normal 5 2 2 3 3 3 3 2" xfId="14066" xr:uid="{2B773ECA-EE25-49FD-92F6-CCFABAC6431B}"/>
    <cellStyle name="Normal 5 2 2 3 3 3 4" xfId="9851" xr:uid="{782C438A-3E66-4467-BC45-57F4CD6D02C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4" xr:uid="{289E2136-3AE6-401D-869D-26133DFD0615}"/>
    <cellStyle name="Normal 5 2 2 3 3 4 2 3" xfId="12409" xr:uid="{5239D0AF-913C-42EC-AF44-620565B1B34E}"/>
    <cellStyle name="Normal 5 2 2 3 3 4 3" xfId="6032" xr:uid="{00000000-0005-0000-0000-0000CB170000}"/>
    <cellStyle name="Normal 5 2 2 3 3 4 3 2" xfId="14479" xr:uid="{76A085A7-4867-4586-B4B4-175B4363C447}"/>
    <cellStyle name="Normal 5 2 2 3 3 4 4" xfId="10264" xr:uid="{F91D9726-A32B-4ADD-9866-5C34CB84D447}"/>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37" xr:uid="{BB8EFBF4-46A3-48E4-B1AD-73B138E3BCFD}"/>
    <cellStyle name="Normal 5 2 2 3 3 5 2 3" xfId="12822" xr:uid="{42EE9CFE-9264-40B8-ADA3-2F1442A84123}"/>
    <cellStyle name="Normal 5 2 2 3 3 5 3" xfId="6445" xr:uid="{00000000-0005-0000-0000-0000CF170000}"/>
    <cellStyle name="Normal 5 2 2 3 3 5 3 2" xfId="14892" xr:uid="{49E3EE94-C0B3-4C69-BCF9-42A2CEA01F68}"/>
    <cellStyle name="Normal 5 2 2 3 3 5 4" xfId="10677" xr:uid="{D3150A2E-AD63-473A-B2F8-2BBB82AD6316}"/>
    <cellStyle name="Normal 5 2 2 3 3 6" xfId="2575" xr:uid="{00000000-0005-0000-0000-0000D0170000}"/>
    <cellStyle name="Normal 5 2 2 3 3 6 2" xfId="6858" xr:uid="{00000000-0005-0000-0000-0000D1170000}"/>
    <cellStyle name="Normal 5 2 2 3 3 6 2 2" xfId="15305" xr:uid="{A91C9123-2297-45C6-8682-E98C97863C79}"/>
    <cellStyle name="Normal 5 2 2 3 3 6 3" xfId="11090" xr:uid="{FE0A12A9-5433-4780-8CAD-91F30668EB51}"/>
    <cellStyle name="Normal 5 2 2 3 3 7" xfId="4793" xr:uid="{00000000-0005-0000-0000-0000D2170000}"/>
    <cellStyle name="Normal 5 2 2 3 3 7 2" xfId="13240" xr:uid="{94F90300-71C0-44BB-A2FF-C9DC3D93D068}"/>
    <cellStyle name="Normal 5 2 2 3 3 8" xfId="9025" xr:uid="{A1A0F9A9-6535-4B28-A803-301811E6E8BB}"/>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5" xr:uid="{DFCDE574-7E2B-436A-8C6C-646D9A6126FB}"/>
    <cellStyle name="Normal 5 2 2 3 4 2 3" xfId="11580" xr:uid="{564AE895-8006-47A0-800B-EB347D017079}"/>
    <cellStyle name="Normal 5 2 2 3 4 3" xfId="5203" xr:uid="{00000000-0005-0000-0000-0000D6170000}"/>
    <cellStyle name="Normal 5 2 2 3 4 3 2" xfId="13650" xr:uid="{F699F972-1ABB-4DC4-8AF9-81D78A90F746}"/>
    <cellStyle name="Normal 5 2 2 3 4 4" xfId="9435" xr:uid="{3BEB030E-3D33-458E-A9C9-E91244715060}"/>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08" xr:uid="{9EBFC92A-7B9F-4830-8D2F-307D5C1CD976}"/>
    <cellStyle name="Normal 5 2 2 3 5 2 3" xfId="11993" xr:uid="{D9CD69D9-4433-4DEA-9F24-BEBB64AEAD9D}"/>
    <cellStyle name="Normal 5 2 2 3 5 3" xfId="5616" xr:uid="{00000000-0005-0000-0000-0000DA170000}"/>
    <cellStyle name="Normal 5 2 2 3 5 3 2" xfId="14063" xr:uid="{6879CDCA-5C2C-4A37-9C4A-A0628A77CD1C}"/>
    <cellStyle name="Normal 5 2 2 3 5 4" xfId="9848" xr:uid="{CCFB08DF-CF7A-4E8A-8774-C2A0DEF898C8}"/>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1" xr:uid="{076DD50C-EB1E-44C7-8B64-106A94517A57}"/>
    <cellStyle name="Normal 5 2 2 3 6 2 3" xfId="12406" xr:uid="{1E8DC6C4-58B7-4778-8334-64244A06FFFF}"/>
    <cellStyle name="Normal 5 2 2 3 6 3" xfId="6029" xr:uid="{00000000-0005-0000-0000-0000DE170000}"/>
    <cellStyle name="Normal 5 2 2 3 6 3 2" xfId="14476" xr:uid="{BE9688B6-23FD-42B5-8681-A7F5CCF941BA}"/>
    <cellStyle name="Normal 5 2 2 3 6 4" xfId="10261" xr:uid="{C5D0F951-24C9-4C7E-ABAD-957A7C93DDCE}"/>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4" xr:uid="{57434DDE-6B4A-4088-AAAE-5707CDAFEE16}"/>
    <cellStyle name="Normal 5 2 2 3 7 2 3" xfId="12819" xr:uid="{031E96D3-2F89-4AD9-B5A2-C13BCBC83D27}"/>
    <cellStyle name="Normal 5 2 2 3 7 3" xfId="6442" xr:uid="{00000000-0005-0000-0000-0000E2170000}"/>
    <cellStyle name="Normal 5 2 2 3 7 3 2" xfId="14889" xr:uid="{B9C4AF1C-7B95-4E44-98CA-6D33D3557E8D}"/>
    <cellStyle name="Normal 5 2 2 3 7 4" xfId="10674" xr:uid="{68205D07-19BD-4BB5-A5A9-B8CB2DE87CC0}"/>
    <cellStyle name="Normal 5 2 2 3 8" xfId="2572" xr:uid="{00000000-0005-0000-0000-0000E3170000}"/>
    <cellStyle name="Normal 5 2 2 3 8 2" xfId="6855" xr:uid="{00000000-0005-0000-0000-0000E4170000}"/>
    <cellStyle name="Normal 5 2 2 3 8 2 2" xfId="15302" xr:uid="{133A5898-6DDC-4C09-8D9D-B80841DB3379}"/>
    <cellStyle name="Normal 5 2 2 3 8 3" xfId="11087" xr:uid="{833ED27C-2DAE-4CE8-B307-B6410EFC0FF2}"/>
    <cellStyle name="Normal 5 2 2 3 9" xfId="4790" xr:uid="{00000000-0005-0000-0000-0000E5170000}"/>
    <cellStyle name="Normal 5 2 2 3 9 2" xfId="13237" xr:uid="{2F45AC19-240B-4DE6-996A-A881AC743DB9}"/>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0" xr:uid="{91A0D629-A48A-4071-BE83-022002DE5465}"/>
    <cellStyle name="Normal 5 2 2 4 2 2 2 3" xfId="11585" xr:uid="{27121806-4328-4DCC-967F-C03098E6CAF1}"/>
    <cellStyle name="Normal 5 2 2 4 2 2 3" xfId="5208" xr:uid="{00000000-0005-0000-0000-0000EB170000}"/>
    <cellStyle name="Normal 5 2 2 4 2 2 3 2" xfId="13655" xr:uid="{FED1F0D5-47FE-4F62-AD61-E1D349240AF6}"/>
    <cellStyle name="Normal 5 2 2 4 2 2 4" xfId="9440" xr:uid="{B186BB65-6E3C-4014-B2C9-B6C32899F9B2}"/>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3" xr:uid="{6D09E4D5-48B0-4799-900C-2D0976339BE1}"/>
    <cellStyle name="Normal 5 2 2 4 2 3 2 3" xfId="11998" xr:uid="{E7737230-39F5-435A-847D-2007D7F5B6F6}"/>
    <cellStyle name="Normal 5 2 2 4 2 3 3" xfId="5621" xr:uid="{00000000-0005-0000-0000-0000EF170000}"/>
    <cellStyle name="Normal 5 2 2 4 2 3 3 2" xfId="14068" xr:uid="{CC653278-AE92-4688-B336-86D6A28803E1}"/>
    <cellStyle name="Normal 5 2 2 4 2 3 4" xfId="9853" xr:uid="{2E593C30-56A8-41EE-8AEF-55DBD1B1CDEE}"/>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6" xr:uid="{74EF93FF-CD91-4058-8C74-162FB9849138}"/>
    <cellStyle name="Normal 5 2 2 4 2 4 2 3" xfId="12411" xr:uid="{22816849-E0D3-44FE-82EE-B5416966B3E4}"/>
    <cellStyle name="Normal 5 2 2 4 2 4 3" xfId="6034" xr:uid="{00000000-0005-0000-0000-0000F3170000}"/>
    <cellStyle name="Normal 5 2 2 4 2 4 3 2" xfId="14481" xr:uid="{45F20356-2596-4C4B-995F-4E3902D29E07}"/>
    <cellStyle name="Normal 5 2 2 4 2 4 4" xfId="10266" xr:uid="{8EF2250C-52ED-4A1A-80AA-82809EF58C3C}"/>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39" xr:uid="{3B77826E-174D-47F2-BD84-821A2AAF9783}"/>
    <cellStyle name="Normal 5 2 2 4 2 5 2 3" xfId="12824" xr:uid="{7BB78400-440B-465C-A38D-91F4882E124F}"/>
    <cellStyle name="Normal 5 2 2 4 2 5 3" xfId="6447" xr:uid="{00000000-0005-0000-0000-0000F7170000}"/>
    <cellStyle name="Normal 5 2 2 4 2 5 3 2" xfId="14894" xr:uid="{2572E0E4-6920-4E52-B671-D1644AA6C3FD}"/>
    <cellStyle name="Normal 5 2 2 4 2 5 4" xfId="10679" xr:uid="{2FB8764C-3210-4F78-82E0-F59C2491276B}"/>
    <cellStyle name="Normal 5 2 2 4 2 6" xfId="2577" xr:uid="{00000000-0005-0000-0000-0000F8170000}"/>
    <cellStyle name="Normal 5 2 2 4 2 6 2" xfId="6860" xr:uid="{00000000-0005-0000-0000-0000F9170000}"/>
    <cellStyle name="Normal 5 2 2 4 2 6 2 2" xfId="15307" xr:uid="{F8318B65-6ABC-49B5-B07C-4641FADCB3CE}"/>
    <cellStyle name="Normal 5 2 2 4 2 6 3" xfId="11092" xr:uid="{B0E929D0-9ADD-4F72-B1FA-84A0B1024B38}"/>
    <cellStyle name="Normal 5 2 2 4 2 7" xfId="4795" xr:uid="{00000000-0005-0000-0000-0000FA170000}"/>
    <cellStyle name="Normal 5 2 2 4 2 7 2" xfId="13242" xr:uid="{65131E19-ADB2-4156-9447-BCC7EA4E7D0F}"/>
    <cellStyle name="Normal 5 2 2 4 2 8" xfId="9027" xr:uid="{3909E247-1D5B-4601-AFBD-B863ED236F50}"/>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799" xr:uid="{E58E8792-9A75-4763-BA58-1C0180B9C7FC}"/>
    <cellStyle name="Normal 5 2 2 4 3 2 3" xfId="11584" xr:uid="{F2FD4B18-6CC0-495F-A4C9-1A593B765A36}"/>
    <cellStyle name="Normal 5 2 2 4 3 3" xfId="5207" xr:uid="{00000000-0005-0000-0000-0000FE170000}"/>
    <cellStyle name="Normal 5 2 2 4 3 3 2" xfId="13654" xr:uid="{AB213BAF-89FC-4AE9-8C9A-01638E69004F}"/>
    <cellStyle name="Normal 5 2 2 4 3 4" xfId="9439" xr:uid="{7C1F40AA-966F-4BA8-AAB1-5E8554636C6F}"/>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2" xr:uid="{486742F4-5101-4764-8286-1730967F9DB6}"/>
    <cellStyle name="Normal 5 2 2 4 4 2 3" xfId="11997" xr:uid="{3AFBEAC3-8E54-42BB-B417-99FEB6D260E0}"/>
    <cellStyle name="Normal 5 2 2 4 4 3" xfId="5620" xr:uid="{00000000-0005-0000-0000-000002180000}"/>
    <cellStyle name="Normal 5 2 2 4 4 3 2" xfId="14067" xr:uid="{34C503C3-6854-4C64-A377-DE8328E6E3C5}"/>
    <cellStyle name="Normal 5 2 2 4 4 4" xfId="9852" xr:uid="{5AB566BC-122C-471C-BFBC-78C70214AFC4}"/>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5" xr:uid="{CA38A7C8-D04F-49A8-BAB8-7B105DE66B86}"/>
    <cellStyle name="Normal 5 2 2 4 5 2 3" xfId="12410" xr:uid="{1E9A35F2-7E41-4CF5-B35D-3E9F60976DE7}"/>
    <cellStyle name="Normal 5 2 2 4 5 3" xfId="6033" xr:uid="{00000000-0005-0000-0000-000006180000}"/>
    <cellStyle name="Normal 5 2 2 4 5 3 2" xfId="14480" xr:uid="{BCAACCAD-17BC-4AD9-B145-EEF5D88672A7}"/>
    <cellStyle name="Normal 5 2 2 4 5 4" xfId="10265" xr:uid="{8C193BE2-25D9-47CB-A7A8-4B062355F9C7}"/>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38" xr:uid="{A47AB93F-3AAF-47C9-9B35-9B043438DEC6}"/>
    <cellStyle name="Normal 5 2 2 4 6 2 3" xfId="12823" xr:uid="{94050D58-6ABF-4BDC-9924-2592B3FF455E}"/>
    <cellStyle name="Normal 5 2 2 4 6 3" xfId="6446" xr:uid="{00000000-0005-0000-0000-00000A180000}"/>
    <cellStyle name="Normal 5 2 2 4 6 3 2" xfId="14893" xr:uid="{D6B0BC4F-23F6-4113-A4BC-6AC83DB5A44C}"/>
    <cellStyle name="Normal 5 2 2 4 6 4" xfId="10678" xr:uid="{6250757A-CE3B-488A-9592-62DFAFD36700}"/>
    <cellStyle name="Normal 5 2 2 4 7" xfId="2576" xr:uid="{00000000-0005-0000-0000-00000B180000}"/>
    <cellStyle name="Normal 5 2 2 4 7 2" xfId="6859" xr:uid="{00000000-0005-0000-0000-00000C180000}"/>
    <cellStyle name="Normal 5 2 2 4 7 2 2" xfId="15306" xr:uid="{9D250080-1142-4070-BCD3-7380E5308BF3}"/>
    <cellStyle name="Normal 5 2 2 4 7 3" xfId="11091" xr:uid="{3DF27748-1117-472A-9D5F-4CD5F06E4099}"/>
    <cellStyle name="Normal 5 2 2 4 8" xfId="4794" xr:uid="{00000000-0005-0000-0000-00000D180000}"/>
    <cellStyle name="Normal 5 2 2 4 8 2" xfId="13241" xr:uid="{444DA7EA-D2D0-4046-8D25-FA4997B1A3EB}"/>
    <cellStyle name="Normal 5 2 2 4 9" xfId="9026" xr:uid="{00AA30B9-203C-45C5-BA67-AF47B8E477CB}"/>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1" xr:uid="{CAB482A2-54BB-4A14-9D16-64BDA56D6FF7}"/>
    <cellStyle name="Normal 5 2 2 5 2 2 3" xfId="11586" xr:uid="{7E501E14-84D8-4765-BD67-35C6A54553A3}"/>
    <cellStyle name="Normal 5 2 2 5 2 3" xfId="5209" xr:uid="{00000000-0005-0000-0000-000012180000}"/>
    <cellStyle name="Normal 5 2 2 5 2 3 2" xfId="13656" xr:uid="{C8C313B8-AE32-4520-BCE8-5522B9D2F783}"/>
    <cellStyle name="Normal 5 2 2 5 2 4" xfId="9441" xr:uid="{44E3049B-E9F1-45E9-9FB6-0233495D822F}"/>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4" xr:uid="{32BECB3C-E81E-4CD7-A709-96BCF41FEAC5}"/>
    <cellStyle name="Normal 5 2 2 5 3 2 3" xfId="11999" xr:uid="{8B1D6C1B-6984-4539-AAB8-F9BCA47A057D}"/>
    <cellStyle name="Normal 5 2 2 5 3 3" xfId="5622" xr:uid="{00000000-0005-0000-0000-000016180000}"/>
    <cellStyle name="Normal 5 2 2 5 3 3 2" xfId="14069" xr:uid="{13FC495B-7437-4BC5-9673-A494E0C11215}"/>
    <cellStyle name="Normal 5 2 2 5 3 4" xfId="9854" xr:uid="{DB6D3A14-86FD-41CA-A821-D8A9F671230F}"/>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27" xr:uid="{2BFB1D16-1152-4C9F-8CA2-EACC17F87341}"/>
    <cellStyle name="Normal 5 2 2 5 4 2 3" xfId="12412" xr:uid="{188EBD6C-BB8E-41B6-9237-105326844E13}"/>
    <cellStyle name="Normal 5 2 2 5 4 3" xfId="6035" xr:uid="{00000000-0005-0000-0000-00001A180000}"/>
    <cellStyle name="Normal 5 2 2 5 4 3 2" xfId="14482" xr:uid="{4233835D-D32A-4A21-B5E2-DA37008E407A}"/>
    <cellStyle name="Normal 5 2 2 5 4 4" xfId="10267" xr:uid="{19D130C5-8764-48DA-88D5-B460E05464D5}"/>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0" xr:uid="{49BFA259-721D-4572-878E-6A7DA7BA8135}"/>
    <cellStyle name="Normal 5 2 2 5 5 2 3" xfId="12825" xr:uid="{64AD7634-B2AC-41A9-94F3-03FEEB0E6E10}"/>
    <cellStyle name="Normal 5 2 2 5 5 3" xfId="6448" xr:uid="{00000000-0005-0000-0000-00001E180000}"/>
    <cellStyle name="Normal 5 2 2 5 5 3 2" xfId="14895" xr:uid="{77942370-737D-451C-9958-074CA1FF654D}"/>
    <cellStyle name="Normal 5 2 2 5 5 4" xfId="10680" xr:uid="{433ED5BB-8BC7-4BDC-B37C-99D670CD24F3}"/>
    <cellStyle name="Normal 5 2 2 5 6" xfId="2578" xr:uid="{00000000-0005-0000-0000-00001F180000}"/>
    <cellStyle name="Normal 5 2 2 5 6 2" xfId="6861" xr:uid="{00000000-0005-0000-0000-000020180000}"/>
    <cellStyle name="Normal 5 2 2 5 6 2 2" xfId="15308" xr:uid="{C9D671EF-6608-4684-B84C-E3CAE847B10E}"/>
    <cellStyle name="Normal 5 2 2 5 6 3" xfId="11093" xr:uid="{9D5B800D-4F5E-41A2-840D-CED019D4B431}"/>
    <cellStyle name="Normal 5 2 2 5 7" xfId="4796" xr:uid="{00000000-0005-0000-0000-000021180000}"/>
    <cellStyle name="Normal 5 2 2 5 7 2" xfId="13243" xr:uid="{B3D8873B-5496-4850-934A-777C911D8BA6}"/>
    <cellStyle name="Normal 5 2 2 5 8" xfId="9028" xr:uid="{8946382F-A89C-4D89-AA25-A64EA6BA5D10}"/>
    <cellStyle name="Normal 5 2 2 6" xfId="882" xr:uid="{00000000-0005-0000-0000-000022180000}"/>
    <cellStyle name="Normal 5 2 2 6 2" xfId="3117" xr:uid="{00000000-0005-0000-0000-000023180000}"/>
    <cellStyle name="Normal 5 2 2 6 2 2" xfId="7339" xr:uid="{00000000-0005-0000-0000-000024180000}"/>
    <cellStyle name="Normal 5 2 2 6 2 2 2" xfId="15786" xr:uid="{5AAAEF08-FCA3-4444-9DCC-08570C867A2D}"/>
    <cellStyle name="Normal 5 2 2 6 2 3" xfId="11571" xr:uid="{8A967119-C3D7-4DE0-9CBD-6409443854F9}"/>
    <cellStyle name="Normal 5 2 2 6 3" xfId="5194" xr:uid="{00000000-0005-0000-0000-000025180000}"/>
    <cellStyle name="Normal 5 2 2 6 3 2" xfId="13641" xr:uid="{2EDDA1BD-652D-4992-9A4A-9709765FE4AB}"/>
    <cellStyle name="Normal 5 2 2 6 4" xfId="9426" xr:uid="{2202E7F2-9CCF-4A71-8FDA-C538751C7964}"/>
    <cellStyle name="Normal 5 2 2 7" xfId="1300" xr:uid="{00000000-0005-0000-0000-000026180000}"/>
    <cellStyle name="Normal 5 2 2 7 2" xfId="3530" xr:uid="{00000000-0005-0000-0000-000027180000}"/>
    <cellStyle name="Normal 5 2 2 7 2 2" xfId="7752" xr:uid="{00000000-0005-0000-0000-000028180000}"/>
    <cellStyle name="Normal 5 2 2 7 2 2 2" xfId="16199" xr:uid="{86331BD2-6316-4759-93B5-DD7537DDAC08}"/>
    <cellStyle name="Normal 5 2 2 7 2 3" xfId="11984" xr:uid="{7380797D-6268-415A-9A9A-50CA22014E34}"/>
    <cellStyle name="Normal 5 2 2 7 3" xfId="5607" xr:uid="{00000000-0005-0000-0000-000029180000}"/>
    <cellStyle name="Normal 5 2 2 7 3 2" xfId="14054" xr:uid="{19F53568-6804-44B7-A897-CEED3562F309}"/>
    <cellStyle name="Normal 5 2 2 7 4" xfId="9839" xr:uid="{C93E1CA3-5ADE-4EC2-AD44-96E430BEC44E}"/>
    <cellStyle name="Normal 5 2 2 8" xfId="1713" xr:uid="{00000000-0005-0000-0000-00002A180000}"/>
    <cellStyle name="Normal 5 2 2 8 2" xfId="3943" xr:uid="{00000000-0005-0000-0000-00002B180000}"/>
    <cellStyle name="Normal 5 2 2 8 2 2" xfId="8165" xr:uid="{00000000-0005-0000-0000-00002C180000}"/>
    <cellStyle name="Normal 5 2 2 8 2 2 2" xfId="16612" xr:uid="{EFBA6237-D541-4987-A58E-91DEA4BA60D5}"/>
    <cellStyle name="Normal 5 2 2 8 2 3" xfId="12397" xr:uid="{99EEB55A-A01C-488D-ACF7-8AD4898CD48F}"/>
    <cellStyle name="Normal 5 2 2 8 3" xfId="6020" xr:uid="{00000000-0005-0000-0000-00002D180000}"/>
    <cellStyle name="Normal 5 2 2 8 3 2" xfId="14467" xr:uid="{43F7D568-F755-440E-BFE3-DA70D5A64193}"/>
    <cellStyle name="Normal 5 2 2 8 4" xfId="10252" xr:uid="{A919C4E2-58AF-4B18-9C60-4C280FF5717A}"/>
    <cellStyle name="Normal 5 2 2 9" xfId="2127" xr:uid="{00000000-0005-0000-0000-00002E180000}"/>
    <cellStyle name="Normal 5 2 2 9 2" xfId="4356" xr:uid="{00000000-0005-0000-0000-00002F180000}"/>
    <cellStyle name="Normal 5 2 2 9 2 2" xfId="8578" xr:uid="{00000000-0005-0000-0000-000030180000}"/>
    <cellStyle name="Normal 5 2 2 9 2 2 2" xfId="17025" xr:uid="{F8DF2349-E0BE-4FD8-8DB0-525E24F57634}"/>
    <cellStyle name="Normal 5 2 2 9 2 3" xfId="12810" xr:uid="{18D43000-C414-4044-A2D2-D99A9AED323F}"/>
    <cellStyle name="Normal 5 2 2 9 3" xfId="6433" xr:uid="{00000000-0005-0000-0000-000031180000}"/>
    <cellStyle name="Normal 5 2 2 9 3 2" xfId="14880" xr:uid="{119B4846-78D3-47F5-AB55-6D7733BDEDDE}"/>
    <cellStyle name="Normal 5 2 2 9 4" xfId="10665" xr:uid="{1CB11975-D4DE-41DA-A924-BBB56071751F}"/>
    <cellStyle name="Normal 5 2 3" xfId="424" xr:uid="{00000000-0005-0000-0000-000032180000}"/>
    <cellStyle name="Normal 5 2 3 10" xfId="4797" xr:uid="{00000000-0005-0000-0000-000033180000}"/>
    <cellStyle name="Normal 5 2 3 10 2" xfId="13244" xr:uid="{5DB09D4C-9ECA-4CFD-B593-2E2BF1A34F2B}"/>
    <cellStyle name="Normal 5 2 3 11" xfId="9029" xr:uid="{31F7126F-2A87-4111-8374-7844AE408298}"/>
    <cellStyle name="Normal 5 2 3 2" xfId="425" xr:uid="{00000000-0005-0000-0000-000034180000}"/>
    <cellStyle name="Normal 5 2 3 2 10" xfId="9030" xr:uid="{D2DB25C0-C08E-447B-8860-1A1E3689F6B7}"/>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5" xr:uid="{D4435E81-0EC3-476F-AF4A-98215273EEA8}"/>
    <cellStyle name="Normal 5 2 3 2 2 2 2 2 3" xfId="11590" xr:uid="{AE76D389-5A4D-4511-A915-2EABD0B06934}"/>
    <cellStyle name="Normal 5 2 3 2 2 2 2 3" xfId="5213" xr:uid="{00000000-0005-0000-0000-00003A180000}"/>
    <cellStyle name="Normal 5 2 3 2 2 2 2 3 2" xfId="13660" xr:uid="{25210379-796F-4893-BF16-54E7E88E4E59}"/>
    <cellStyle name="Normal 5 2 3 2 2 2 2 4" xfId="9445" xr:uid="{5C3FB440-C910-4DA9-B762-073679668739}"/>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18" xr:uid="{9140CC4E-3860-441E-BBD3-4F4DB10C1E62}"/>
    <cellStyle name="Normal 5 2 3 2 2 2 3 2 3" xfId="12003" xr:uid="{CFBDA814-47F2-4CD2-A543-2F76F173099E}"/>
    <cellStyle name="Normal 5 2 3 2 2 2 3 3" xfId="5626" xr:uid="{00000000-0005-0000-0000-00003E180000}"/>
    <cellStyle name="Normal 5 2 3 2 2 2 3 3 2" xfId="14073" xr:uid="{D6767C27-185B-4729-A949-43B7B4E46EB6}"/>
    <cellStyle name="Normal 5 2 3 2 2 2 3 4" xfId="9858" xr:uid="{54E87C9C-3260-433D-AC0C-80FADECC83EB}"/>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1" xr:uid="{2C795616-2033-4192-A15F-20620C2E4DC4}"/>
    <cellStyle name="Normal 5 2 3 2 2 2 4 2 3" xfId="12416" xr:uid="{E46BD706-CB9A-4E33-8EB7-CA6843E5C44A}"/>
    <cellStyle name="Normal 5 2 3 2 2 2 4 3" xfId="6039" xr:uid="{00000000-0005-0000-0000-000042180000}"/>
    <cellStyle name="Normal 5 2 3 2 2 2 4 3 2" xfId="14486" xr:uid="{B139B606-0CA5-401D-B416-EC817BEC4647}"/>
    <cellStyle name="Normal 5 2 3 2 2 2 4 4" xfId="10271" xr:uid="{43161B75-0450-42B7-96D6-A89A777022D6}"/>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4" xr:uid="{C6F86B91-37A5-433B-8607-8F8722FEC999}"/>
    <cellStyle name="Normal 5 2 3 2 2 2 5 2 3" xfId="12829" xr:uid="{E101BB47-BC78-425D-B6FA-098D002FA075}"/>
    <cellStyle name="Normal 5 2 3 2 2 2 5 3" xfId="6452" xr:uid="{00000000-0005-0000-0000-000046180000}"/>
    <cellStyle name="Normal 5 2 3 2 2 2 5 3 2" xfId="14899" xr:uid="{3FC7C726-62FF-43D9-9E96-CE38009BF817}"/>
    <cellStyle name="Normal 5 2 3 2 2 2 5 4" xfId="10684" xr:uid="{3064AA58-706A-4008-BF66-0F337AFBA4E6}"/>
    <cellStyle name="Normal 5 2 3 2 2 2 6" xfId="2582" xr:uid="{00000000-0005-0000-0000-000047180000}"/>
    <cellStyle name="Normal 5 2 3 2 2 2 6 2" xfId="6865" xr:uid="{00000000-0005-0000-0000-000048180000}"/>
    <cellStyle name="Normal 5 2 3 2 2 2 6 2 2" xfId="15312" xr:uid="{0231DC0E-17A0-49A7-9CE4-18E99C28753C}"/>
    <cellStyle name="Normal 5 2 3 2 2 2 6 3" xfId="11097" xr:uid="{B4076852-C9B2-4253-A7DB-4FD62EAF6264}"/>
    <cellStyle name="Normal 5 2 3 2 2 2 7" xfId="4800" xr:uid="{00000000-0005-0000-0000-000049180000}"/>
    <cellStyle name="Normal 5 2 3 2 2 2 7 2" xfId="13247" xr:uid="{A81FF881-3A16-4A3E-84AA-68B14A404425}"/>
    <cellStyle name="Normal 5 2 3 2 2 2 8" xfId="9032" xr:uid="{A9FF5D54-F7C7-4523-80C3-4178754AFFE9}"/>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4" xr:uid="{20135EF1-31AA-43A2-8A51-6D67D4DC5324}"/>
    <cellStyle name="Normal 5 2 3 2 2 3 2 3" xfId="11589" xr:uid="{1ABB9455-03FE-4488-B274-E826C2E333DD}"/>
    <cellStyle name="Normal 5 2 3 2 2 3 3" xfId="5212" xr:uid="{00000000-0005-0000-0000-00004D180000}"/>
    <cellStyle name="Normal 5 2 3 2 2 3 3 2" xfId="13659" xr:uid="{AF79534A-22C2-4AD6-A0F4-260F926AF04A}"/>
    <cellStyle name="Normal 5 2 3 2 2 3 4" xfId="9444" xr:uid="{C4F8F56D-9065-40D4-AF2B-4ED7262582DB}"/>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17" xr:uid="{BA8EBDBF-62A2-4C2B-8B62-37328E480969}"/>
    <cellStyle name="Normal 5 2 3 2 2 4 2 3" xfId="12002" xr:uid="{0055F2E5-CE57-44E9-8957-971A9DFD5924}"/>
    <cellStyle name="Normal 5 2 3 2 2 4 3" xfId="5625" xr:uid="{00000000-0005-0000-0000-000051180000}"/>
    <cellStyle name="Normal 5 2 3 2 2 4 3 2" xfId="14072" xr:uid="{EF472875-BA1D-4866-9F21-5D95E1806368}"/>
    <cellStyle name="Normal 5 2 3 2 2 4 4" xfId="9857" xr:uid="{2DBE5E0F-97E6-4BAC-BEF4-9BE893B2249B}"/>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0" xr:uid="{9E840804-AD49-4405-A4A3-83048F148EA1}"/>
    <cellStyle name="Normal 5 2 3 2 2 5 2 3" xfId="12415" xr:uid="{26012CDE-4A41-4E2F-A1AE-DD963DDCD77F}"/>
    <cellStyle name="Normal 5 2 3 2 2 5 3" xfId="6038" xr:uid="{00000000-0005-0000-0000-000055180000}"/>
    <cellStyle name="Normal 5 2 3 2 2 5 3 2" xfId="14485" xr:uid="{1DDAC797-F508-442B-9BFB-8C7BEEC013FC}"/>
    <cellStyle name="Normal 5 2 3 2 2 5 4" xfId="10270" xr:uid="{4A4CEC4B-E6F8-4143-BE7D-24BA6550DB97}"/>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3" xr:uid="{247F4FE3-9F2E-4B00-936C-BB6607997B26}"/>
    <cellStyle name="Normal 5 2 3 2 2 6 2 3" xfId="12828" xr:uid="{97926734-A8D5-493E-A6B4-6EE11C7B7E46}"/>
    <cellStyle name="Normal 5 2 3 2 2 6 3" xfId="6451" xr:uid="{00000000-0005-0000-0000-000059180000}"/>
    <cellStyle name="Normal 5 2 3 2 2 6 3 2" xfId="14898" xr:uid="{CA61564E-88C7-4BE4-AFCF-EF7B430DA504}"/>
    <cellStyle name="Normal 5 2 3 2 2 6 4" xfId="10683" xr:uid="{619B8146-C249-477B-B5A9-C1E82D15C35B}"/>
    <cellStyle name="Normal 5 2 3 2 2 7" xfId="2581" xr:uid="{00000000-0005-0000-0000-00005A180000}"/>
    <cellStyle name="Normal 5 2 3 2 2 7 2" xfId="6864" xr:uid="{00000000-0005-0000-0000-00005B180000}"/>
    <cellStyle name="Normal 5 2 3 2 2 7 2 2" xfId="15311" xr:uid="{33A16120-B0DE-4587-BCEA-0D55B99BFA77}"/>
    <cellStyle name="Normal 5 2 3 2 2 7 3" xfId="11096" xr:uid="{E9BC1498-9C39-4E26-8025-967EF1E2DFC6}"/>
    <cellStyle name="Normal 5 2 3 2 2 8" xfId="4799" xr:uid="{00000000-0005-0000-0000-00005C180000}"/>
    <cellStyle name="Normal 5 2 3 2 2 8 2" xfId="13246" xr:uid="{70FAB176-8324-4093-8F43-D3694A8D3D0F}"/>
    <cellStyle name="Normal 5 2 3 2 2 9" xfId="9031" xr:uid="{C8878BD9-3E37-460E-BB9E-5FB914808ADE}"/>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6" xr:uid="{32B04D7A-5CC3-48D1-A262-B7E09390777C}"/>
    <cellStyle name="Normal 5 2 3 2 3 2 2 3" xfId="11591" xr:uid="{B6CEE336-1BA6-4DD9-9C16-754BEA835AD9}"/>
    <cellStyle name="Normal 5 2 3 2 3 2 3" xfId="5214" xr:uid="{00000000-0005-0000-0000-000061180000}"/>
    <cellStyle name="Normal 5 2 3 2 3 2 3 2" xfId="13661" xr:uid="{30FB2059-9831-4CE5-914F-FD7DA432DE8C}"/>
    <cellStyle name="Normal 5 2 3 2 3 2 4" xfId="9446" xr:uid="{7D87E18E-7C99-416C-BD54-B4F23873CD74}"/>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19" xr:uid="{760DB3A6-E6DA-4380-8944-0556BE1DD2CF}"/>
    <cellStyle name="Normal 5 2 3 2 3 3 2 3" xfId="12004" xr:uid="{89A03D18-4CC2-4CF2-BEE7-803CFD53C496}"/>
    <cellStyle name="Normal 5 2 3 2 3 3 3" xfId="5627" xr:uid="{00000000-0005-0000-0000-000065180000}"/>
    <cellStyle name="Normal 5 2 3 2 3 3 3 2" xfId="14074" xr:uid="{359918DF-5EED-43CB-804D-829E8FAD352F}"/>
    <cellStyle name="Normal 5 2 3 2 3 3 4" xfId="9859" xr:uid="{BF4D26F2-6F8C-4DAB-AC6F-5C4D7AE9522F}"/>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2" xr:uid="{1F303315-1475-4214-BEC6-A65595AE1C77}"/>
    <cellStyle name="Normal 5 2 3 2 3 4 2 3" xfId="12417" xr:uid="{5F3DAABC-D0D6-4277-8B1F-D1F3BCD93C4D}"/>
    <cellStyle name="Normal 5 2 3 2 3 4 3" xfId="6040" xr:uid="{00000000-0005-0000-0000-000069180000}"/>
    <cellStyle name="Normal 5 2 3 2 3 4 3 2" xfId="14487" xr:uid="{AE5A23EC-EA65-49C0-A1F6-1A953AE7B550}"/>
    <cellStyle name="Normal 5 2 3 2 3 4 4" xfId="10272" xr:uid="{2CCF668E-7508-47D2-B799-7206DD9871D2}"/>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5" xr:uid="{CF906A33-A789-4E98-866C-9201A4B969CB}"/>
    <cellStyle name="Normal 5 2 3 2 3 5 2 3" xfId="12830" xr:uid="{7C41972B-EA40-4A14-88AD-0E0157A18282}"/>
    <cellStyle name="Normal 5 2 3 2 3 5 3" xfId="6453" xr:uid="{00000000-0005-0000-0000-00006D180000}"/>
    <cellStyle name="Normal 5 2 3 2 3 5 3 2" xfId="14900" xr:uid="{9FD39002-7EE8-4238-9B09-200CBC96F047}"/>
    <cellStyle name="Normal 5 2 3 2 3 5 4" xfId="10685" xr:uid="{56B6766F-0089-4F9F-AB91-CE48F04FF0F1}"/>
    <cellStyle name="Normal 5 2 3 2 3 6" xfId="2583" xr:uid="{00000000-0005-0000-0000-00006E180000}"/>
    <cellStyle name="Normal 5 2 3 2 3 6 2" xfId="6866" xr:uid="{00000000-0005-0000-0000-00006F180000}"/>
    <cellStyle name="Normal 5 2 3 2 3 6 2 2" xfId="15313" xr:uid="{790BEA05-C4D9-417E-93A1-394767BEDE29}"/>
    <cellStyle name="Normal 5 2 3 2 3 6 3" xfId="11098" xr:uid="{F0CCE387-0380-4F87-B00F-2C28EBACA2C4}"/>
    <cellStyle name="Normal 5 2 3 2 3 7" xfId="4801" xr:uid="{00000000-0005-0000-0000-000070180000}"/>
    <cellStyle name="Normal 5 2 3 2 3 7 2" xfId="13248" xr:uid="{15BACCE4-B780-49E4-9294-F85BA1A59B9F}"/>
    <cellStyle name="Normal 5 2 3 2 3 8" xfId="9033" xr:uid="{3D656D79-DCFC-4839-A439-3A933AC7C365}"/>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3" xr:uid="{5C4C7544-5F48-4FE7-B7AE-2F973D11D5EB}"/>
    <cellStyle name="Normal 5 2 3 2 4 2 3" xfId="11588" xr:uid="{00FDCD40-77A1-4503-AD5B-3ECF2CF994FB}"/>
    <cellStyle name="Normal 5 2 3 2 4 3" xfId="5211" xr:uid="{00000000-0005-0000-0000-000074180000}"/>
    <cellStyle name="Normal 5 2 3 2 4 3 2" xfId="13658" xr:uid="{BC4F3346-3087-4E05-909C-61DF6FDB3737}"/>
    <cellStyle name="Normal 5 2 3 2 4 4" xfId="9443" xr:uid="{F3973B40-D267-4FCD-B456-5C7944EADBA6}"/>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6" xr:uid="{BC571F17-B54E-402A-9685-7016C33FE1E1}"/>
    <cellStyle name="Normal 5 2 3 2 5 2 3" xfId="12001" xr:uid="{89FACD8D-6DE4-4375-A558-8E90C8E3E2CC}"/>
    <cellStyle name="Normal 5 2 3 2 5 3" xfId="5624" xr:uid="{00000000-0005-0000-0000-000078180000}"/>
    <cellStyle name="Normal 5 2 3 2 5 3 2" xfId="14071" xr:uid="{9788CDD4-7898-4C86-8339-870AF2147BAE}"/>
    <cellStyle name="Normal 5 2 3 2 5 4" xfId="9856" xr:uid="{C2988B3E-A05A-4B6B-B1F2-A0CCF92EB89B}"/>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29" xr:uid="{11A84C86-455D-4ECE-8BB0-E53C45D482E3}"/>
    <cellStyle name="Normal 5 2 3 2 6 2 3" xfId="12414" xr:uid="{694F775F-E852-4140-9419-A50B15B43B5C}"/>
    <cellStyle name="Normal 5 2 3 2 6 3" xfId="6037" xr:uid="{00000000-0005-0000-0000-00007C180000}"/>
    <cellStyle name="Normal 5 2 3 2 6 3 2" xfId="14484" xr:uid="{C834BD30-BA85-42CD-A1E3-423350A561DC}"/>
    <cellStyle name="Normal 5 2 3 2 6 4" xfId="10269" xr:uid="{ACE4EF6C-9E13-4895-8DC2-01AABBE47FEB}"/>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2" xr:uid="{BBECCD5B-3A46-4D1B-99D5-45726BF3EAE5}"/>
    <cellStyle name="Normal 5 2 3 2 7 2 3" xfId="12827" xr:uid="{74995052-A9FD-49A8-8748-802D58531B1F}"/>
    <cellStyle name="Normal 5 2 3 2 7 3" xfId="6450" xr:uid="{00000000-0005-0000-0000-000080180000}"/>
    <cellStyle name="Normal 5 2 3 2 7 3 2" xfId="14897" xr:uid="{14D4B470-6D01-437B-9C89-1589CEE63465}"/>
    <cellStyle name="Normal 5 2 3 2 7 4" xfId="10682" xr:uid="{89DEBD7C-D6E0-4818-9CA9-08404C37DF09}"/>
    <cellStyle name="Normal 5 2 3 2 8" xfId="2580" xr:uid="{00000000-0005-0000-0000-000081180000}"/>
    <cellStyle name="Normal 5 2 3 2 8 2" xfId="6863" xr:uid="{00000000-0005-0000-0000-000082180000}"/>
    <cellStyle name="Normal 5 2 3 2 8 2 2" xfId="15310" xr:uid="{B0F77DD5-63C9-4163-B570-05B6F64D2D30}"/>
    <cellStyle name="Normal 5 2 3 2 8 3" xfId="11095" xr:uid="{67C3C023-A477-4430-9736-BC06340654A5}"/>
    <cellStyle name="Normal 5 2 3 2 9" xfId="4798" xr:uid="{00000000-0005-0000-0000-000083180000}"/>
    <cellStyle name="Normal 5 2 3 2 9 2" xfId="13245" xr:uid="{03B156F8-5591-427F-9925-35594700AB61}"/>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08" xr:uid="{C58AB47D-489F-488C-A83F-7A3785CB8866}"/>
    <cellStyle name="Normal 5 2 3 3 2 2 2 3" xfId="11593" xr:uid="{B2A96153-C74B-4C52-9A90-32E6D277F0D1}"/>
    <cellStyle name="Normal 5 2 3 3 2 2 3" xfId="5216" xr:uid="{00000000-0005-0000-0000-000089180000}"/>
    <cellStyle name="Normal 5 2 3 3 2 2 3 2" xfId="13663" xr:uid="{8752CE58-48EE-4039-822A-72B2B286D056}"/>
    <cellStyle name="Normal 5 2 3 3 2 2 4" xfId="9448" xr:uid="{BDA15627-B39A-4751-B6EF-F34EE45F799F}"/>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1" xr:uid="{E46A6131-6993-4AC9-80D4-B756084B6529}"/>
    <cellStyle name="Normal 5 2 3 3 2 3 2 3" xfId="12006" xr:uid="{E4A2E9D9-2563-4A23-B707-CF8EF2D61E6D}"/>
    <cellStyle name="Normal 5 2 3 3 2 3 3" xfId="5629" xr:uid="{00000000-0005-0000-0000-00008D180000}"/>
    <cellStyle name="Normal 5 2 3 3 2 3 3 2" xfId="14076" xr:uid="{CA3DB5C3-1C17-4313-B089-DC5C18E4C98E}"/>
    <cellStyle name="Normal 5 2 3 3 2 3 4" xfId="9861" xr:uid="{3D4389BA-D53F-420E-AB46-BBCDF421BC6D}"/>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4" xr:uid="{FAF91923-24FF-420D-BE44-8594BBEFE803}"/>
    <cellStyle name="Normal 5 2 3 3 2 4 2 3" xfId="12419" xr:uid="{F786FC12-0760-4996-A212-584C1D8ED78A}"/>
    <cellStyle name="Normal 5 2 3 3 2 4 3" xfId="6042" xr:uid="{00000000-0005-0000-0000-000091180000}"/>
    <cellStyle name="Normal 5 2 3 3 2 4 3 2" xfId="14489" xr:uid="{AFB3A9B4-94B0-4011-AB31-F1238CB69C73}"/>
    <cellStyle name="Normal 5 2 3 3 2 4 4" xfId="10274" xr:uid="{EB4E612A-9A7C-4342-AC90-59B61E358556}"/>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47" xr:uid="{9E7E812C-657B-4B74-BE26-07034775D8DB}"/>
    <cellStyle name="Normal 5 2 3 3 2 5 2 3" xfId="12832" xr:uid="{EC9FA22B-2A32-485A-9011-24550653BD08}"/>
    <cellStyle name="Normal 5 2 3 3 2 5 3" xfId="6455" xr:uid="{00000000-0005-0000-0000-000095180000}"/>
    <cellStyle name="Normal 5 2 3 3 2 5 3 2" xfId="14902" xr:uid="{F39431B5-D4C6-4904-892A-BE5DF7A2D59D}"/>
    <cellStyle name="Normal 5 2 3 3 2 5 4" xfId="10687" xr:uid="{78A9A65F-6FFF-4283-9E41-980E82B88B04}"/>
    <cellStyle name="Normal 5 2 3 3 2 6" xfId="2585" xr:uid="{00000000-0005-0000-0000-000096180000}"/>
    <cellStyle name="Normal 5 2 3 3 2 6 2" xfId="6868" xr:uid="{00000000-0005-0000-0000-000097180000}"/>
    <cellStyle name="Normal 5 2 3 3 2 6 2 2" xfId="15315" xr:uid="{404A0BB0-928C-4D18-80FD-F1ADC012CF09}"/>
    <cellStyle name="Normal 5 2 3 3 2 6 3" xfId="11100" xr:uid="{65AD9196-C155-41B1-8F51-D2F4D5A6F3F3}"/>
    <cellStyle name="Normal 5 2 3 3 2 7" xfId="4803" xr:uid="{00000000-0005-0000-0000-000098180000}"/>
    <cellStyle name="Normal 5 2 3 3 2 7 2" xfId="13250" xr:uid="{A7C271CB-7131-452B-AC90-5DA09860E0CC}"/>
    <cellStyle name="Normal 5 2 3 3 2 8" xfId="9035" xr:uid="{4A460554-FA97-4AD4-BE1E-82BE29DFCA80}"/>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07" xr:uid="{FD46B3BE-F9BA-43D8-8664-DB703CD15692}"/>
    <cellStyle name="Normal 5 2 3 3 3 2 3" xfId="11592" xr:uid="{5F5201CF-97CA-4D82-B85F-97C2370F11FD}"/>
    <cellStyle name="Normal 5 2 3 3 3 3" xfId="5215" xr:uid="{00000000-0005-0000-0000-00009C180000}"/>
    <cellStyle name="Normal 5 2 3 3 3 3 2" xfId="13662" xr:uid="{444DF3F5-711E-42BE-80D8-5C6E7F7A2715}"/>
    <cellStyle name="Normal 5 2 3 3 3 4" xfId="9447" xr:uid="{F80196A1-8FC7-40B3-97DC-0F141FB2018B}"/>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0" xr:uid="{B4B4E20B-2F76-4452-B753-642C79414FF2}"/>
    <cellStyle name="Normal 5 2 3 3 4 2 3" xfId="12005" xr:uid="{5AB9DA85-57FC-472A-9605-531D2AB60C4F}"/>
    <cellStyle name="Normal 5 2 3 3 4 3" xfId="5628" xr:uid="{00000000-0005-0000-0000-0000A0180000}"/>
    <cellStyle name="Normal 5 2 3 3 4 3 2" xfId="14075" xr:uid="{8E5D311B-5FD2-467F-98F4-CDF75B8435CE}"/>
    <cellStyle name="Normal 5 2 3 3 4 4" xfId="9860" xr:uid="{250AC326-2325-4562-9DEA-3B70613C3384}"/>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3" xr:uid="{A62786EA-1F28-43E9-8166-DEAFF85F5F7C}"/>
    <cellStyle name="Normal 5 2 3 3 5 2 3" xfId="12418" xr:uid="{883B7FC8-7664-4560-86CF-67691B66435D}"/>
    <cellStyle name="Normal 5 2 3 3 5 3" xfId="6041" xr:uid="{00000000-0005-0000-0000-0000A4180000}"/>
    <cellStyle name="Normal 5 2 3 3 5 3 2" xfId="14488" xr:uid="{443B2B4B-59A1-4D6C-8184-9883E61A1BCC}"/>
    <cellStyle name="Normal 5 2 3 3 5 4" xfId="10273" xr:uid="{8C1A4E16-DD93-4FC0-BBDA-71CBCF1CBED3}"/>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6" xr:uid="{B57C72FA-4D7A-4CB9-9C02-37E48B7520E7}"/>
    <cellStyle name="Normal 5 2 3 3 6 2 3" xfId="12831" xr:uid="{3885278B-D2DD-4A17-B292-356FD8D2209B}"/>
    <cellStyle name="Normal 5 2 3 3 6 3" xfId="6454" xr:uid="{00000000-0005-0000-0000-0000A8180000}"/>
    <cellStyle name="Normal 5 2 3 3 6 3 2" xfId="14901" xr:uid="{F10C0E08-6344-44B0-B906-C9ABC6E94909}"/>
    <cellStyle name="Normal 5 2 3 3 6 4" xfId="10686" xr:uid="{F7548E85-458F-4BF1-B2EE-4541F68921AA}"/>
    <cellStyle name="Normal 5 2 3 3 7" xfId="2584" xr:uid="{00000000-0005-0000-0000-0000A9180000}"/>
    <cellStyle name="Normal 5 2 3 3 7 2" xfId="6867" xr:uid="{00000000-0005-0000-0000-0000AA180000}"/>
    <cellStyle name="Normal 5 2 3 3 7 2 2" xfId="15314" xr:uid="{C2C9FDB0-43E3-457E-9BAE-C64C6586A878}"/>
    <cellStyle name="Normal 5 2 3 3 7 3" xfId="11099" xr:uid="{6F77FDFB-7C14-4056-A38D-3994CF10EC81}"/>
    <cellStyle name="Normal 5 2 3 3 8" xfId="4802" xr:uid="{00000000-0005-0000-0000-0000AB180000}"/>
    <cellStyle name="Normal 5 2 3 3 8 2" xfId="13249" xr:uid="{CF31318C-2ED9-4D27-B03F-3143FFABB22E}"/>
    <cellStyle name="Normal 5 2 3 3 9" xfId="9034" xr:uid="{B9ADFF21-6838-447E-BA67-ACE4E5A11E9E}"/>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09" xr:uid="{595A9DB1-E2E3-4439-9522-7A6486A61FD5}"/>
    <cellStyle name="Normal 5 2 3 4 2 2 3" xfId="11594" xr:uid="{87780C80-3072-4524-811D-B13747F1A3DB}"/>
    <cellStyle name="Normal 5 2 3 4 2 3" xfId="5217" xr:uid="{00000000-0005-0000-0000-0000B0180000}"/>
    <cellStyle name="Normal 5 2 3 4 2 3 2" xfId="13664" xr:uid="{3654C179-802E-4599-8FA1-2F3FA9451644}"/>
    <cellStyle name="Normal 5 2 3 4 2 4" xfId="9449" xr:uid="{59F95087-5D70-4F5D-9AFD-765B1BEB7414}"/>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2" xr:uid="{731C6939-981A-4769-9244-8BA06752B7FA}"/>
    <cellStyle name="Normal 5 2 3 4 3 2 3" xfId="12007" xr:uid="{D351A697-90A4-40B7-AEA7-84B37178EEBF}"/>
    <cellStyle name="Normal 5 2 3 4 3 3" xfId="5630" xr:uid="{00000000-0005-0000-0000-0000B4180000}"/>
    <cellStyle name="Normal 5 2 3 4 3 3 2" xfId="14077" xr:uid="{1207B8F3-C325-4906-98A1-08DB9195CA7C}"/>
    <cellStyle name="Normal 5 2 3 4 3 4" xfId="9862" xr:uid="{60D9DE04-6217-4380-B045-E5C9BE1712E6}"/>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5" xr:uid="{33B2E910-F839-4EE0-A437-66C841C5D76B}"/>
    <cellStyle name="Normal 5 2 3 4 4 2 3" xfId="12420" xr:uid="{83352084-7404-4EDC-A2A1-34E24D2983A6}"/>
    <cellStyle name="Normal 5 2 3 4 4 3" xfId="6043" xr:uid="{00000000-0005-0000-0000-0000B8180000}"/>
    <cellStyle name="Normal 5 2 3 4 4 3 2" xfId="14490" xr:uid="{C0062B11-D832-495F-9C91-16CCF2DF2421}"/>
    <cellStyle name="Normal 5 2 3 4 4 4" xfId="10275" xr:uid="{2DD0F9CD-09F9-4537-A1FB-9650902C1E03}"/>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48" xr:uid="{5997997D-FFB6-4536-8F56-1C3B70AA68B0}"/>
    <cellStyle name="Normal 5 2 3 4 5 2 3" xfId="12833" xr:uid="{3FA4AD99-195B-4968-8473-E0D23F51E7EA}"/>
    <cellStyle name="Normal 5 2 3 4 5 3" xfId="6456" xr:uid="{00000000-0005-0000-0000-0000BC180000}"/>
    <cellStyle name="Normal 5 2 3 4 5 3 2" xfId="14903" xr:uid="{A220256A-AECE-4855-91CA-777C88C35D2C}"/>
    <cellStyle name="Normal 5 2 3 4 5 4" xfId="10688" xr:uid="{33000561-59B4-49BF-B715-395B231E1AC5}"/>
    <cellStyle name="Normal 5 2 3 4 6" xfId="2586" xr:uid="{00000000-0005-0000-0000-0000BD180000}"/>
    <cellStyle name="Normal 5 2 3 4 6 2" xfId="6869" xr:uid="{00000000-0005-0000-0000-0000BE180000}"/>
    <cellStyle name="Normal 5 2 3 4 6 2 2" xfId="15316" xr:uid="{0CDEE30A-34EC-480A-8EE4-A0D15CB29505}"/>
    <cellStyle name="Normal 5 2 3 4 6 3" xfId="11101" xr:uid="{33D2F76C-B65D-4E24-A5C3-175DD70B599C}"/>
    <cellStyle name="Normal 5 2 3 4 7" xfId="4804" xr:uid="{00000000-0005-0000-0000-0000BF180000}"/>
    <cellStyle name="Normal 5 2 3 4 7 2" xfId="13251" xr:uid="{E879F4CF-70A0-4AC9-B838-2A9B4438D71F}"/>
    <cellStyle name="Normal 5 2 3 4 8" xfId="9036" xr:uid="{3B7E4473-90E6-47D4-A154-C37DEDCA4296}"/>
    <cellStyle name="Normal 5 2 3 5" xfId="898" xr:uid="{00000000-0005-0000-0000-0000C0180000}"/>
    <cellStyle name="Normal 5 2 3 5 2" xfId="3133" xr:uid="{00000000-0005-0000-0000-0000C1180000}"/>
    <cellStyle name="Normal 5 2 3 5 2 2" xfId="7355" xr:uid="{00000000-0005-0000-0000-0000C2180000}"/>
    <cellStyle name="Normal 5 2 3 5 2 2 2" xfId="15802" xr:uid="{048282B8-7F29-406E-B2D7-F06BDFD7956C}"/>
    <cellStyle name="Normal 5 2 3 5 2 3" xfId="11587" xr:uid="{7D846A84-64D1-421F-8C4F-FE3C185F0E47}"/>
    <cellStyle name="Normal 5 2 3 5 3" xfId="5210" xr:uid="{00000000-0005-0000-0000-0000C3180000}"/>
    <cellStyle name="Normal 5 2 3 5 3 2" xfId="13657" xr:uid="{02570D60-0CB5-4F61-90D1-8317ADDCC5AF}"/>
    <cellStyle name="Normal 5 2 3 5 4" xfId="9442" xr:uid="{8015ABF2-98E7-42C4-B6B1-BB1E1065F24F}"/>
    <cellStyle name="Normal 5 2 3 6" xfId="1316" xr:uid="{00000000-0005-0000-0000-0000C4180000}"/>
    <cellStyle name="Normal 5 2 3 6 2" xfId="3546" xr:uid="{00000000-0005-0000-0000-0000C5180000}"/>
    <cellStyle name="Normal 5 2 3 6 2 2" xfId="7768" xr:uid="{00000000-0005-0000-0000-0000C6180000}"/>
    <cellStyle name="Normal 5 2 3 6 2 2 2" xfId="16215" xr:uid="{ABC03DA0-3097-451D-851E-D2B03E269F09}"/>
    <cellStyle name="Normal 5 2 3 6 2 3" xfId="12000" xr:uid="{1689D6B6-4C22-4C80-9E3D-1F26463C01C8}"/>
    <cellStyle name="Normal 5 2 3 6 3" xfId="5623" xr:uid="{00000000-0005-0000-0000-0000C7180000}"/>
    <cellStyle name="Normal 5 2 3 6 3 2" xfId="14070" xr:uid="{80A69831-CC6B-41C6-AC78-8712A1B3D104}"/>
    <cellStyle name="Normal 5 2 3 6 4" xfId="9855" xr:uid="{3883614E-9D87-4403-A0D5-21F60CB43412}"/>
    <cellStyle name="Normal 5 2 3 7" xfId="1729" xr:uid="{00000000-0005-0000-0000-0000C8180000}"/>
    <cellStyle name="Normal 5 2 3 7 2" xfId="3959" xr:uid="{00000000-0005-0000-0000-0000C9180000}"/>
    <cellStyle name="Normal 5 2 3 7 2 2" xfId="8181" xr:uid="{00000000-0005-0000-0000-0000CA180000}"/>
    <cellStyle name="Normal 5 2 3 7 2 2 2" xfId="16628" xr:uid="{ED92E6B7-D5BA-4DE3-9E5D-4731B0787A7D}"/>
    <cellStyle name="Normal 5 2 3 7 2 3" xfId="12413" xr:uid="{B72FBB62-8B79-42CD-9CB0-90CEAAB046C0}"/>
    <cellStyle name="Normal 5 2 3 7 3" xfId="6036" xr:uid="{00000000-0005-0000-0000-0000CB180000}"/>
    <cellStyle name="Normal 5 2 3 7 3 2" xfId="14483" xr:uid="{FDEC7995-E071-4135-BC75-77C1B7D4ECC9}"/>
    <cellStyle name="Normal 5 2 3 7 4" xfId="10268" xr:uid="{0269E3C9-DEA4-4279-A9F5-DC053B8E9507}"/>
    <cellStyle name="Normal 5 2 3 8" xfId="2143" xr:uid="{00000000-0005-0000-0000-0000CC180000}"/>
    <cellStyle name="Normal 5 2 3 8 2" xfId="4372" xr:uid="{00000000-0005-0000-0000-0000CD180000}"/>
    <cellStyle name="Normal 5 2 3 8 2 2" xfId="8594" xr:uid="{00000000-0005-0000-0000-0000CE180000}"/>
    <cellStyle name="Normal 5 2 3 8 2 2 2" xfId="17041" xr:uid="{C40209DA-9FD1-4216-9C2D-4E8F2377224C}"/>
    <cellStyle name="Normal 5 2 3 8 2 3" xfId="12826" xr:uid="{01060876-BEFC-4FA8-9E5B-E3526F9024BB}"/>
    <cellStyle name="Normal 5 2 3 8 3" xfId="6449" xr:uid="{00000000-0005-0000-0000-0000CF180000}"/>
    <cellStyle name="Normal 5 2 3 8 3 2" xfId="14896" xr:uid="{31DB4A26-F924-48CB-AA06-0A98818B1745}"/>
    <cellStyle name="Normal 5 2 3 8 4" xfId="10681" xr:uid="{82024184-692E-4A42-863E-54FBF07E9F37}"/>
    <cellStyle name="Normal 5 2 3 9" xfId="2579" xr:uid="{00000000-0005-0000-0000-0000D0180000}"/>
    <cellStyle name="Normal 5 2 3 9 2" xfId="6862" xr:uid="{00000000-0005-0000-0000-0000D1180000}"/>
    <cellStyle name="Normal 5 2 3 9 2 2" xfId="15309" xr:uid="{73D62059-0A46-4444-B573-069AC9432042}"/>
    <cellStyle name="Normal 5 2 3 9 3" xfId="11094" xr:uid="{7A400869-A9E1-429F-A2B3-BE11D72C4363}"/>
    <cellStyle name="Normal 5 2 4" xfId="432" xr:uid="{00000000-0005-0000-0000-0000D2180000}"/>
    <cellStyle name="Normal 5 2 4 10" xfId="9037" xr:uid="{E1EE5795-C34F-41DE-82BB-A47921B4E3A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2" xr:uid="{90E0BE28-CDDB-47FC-A645-FD2068E0D855}"/>
    <cellStyle name="Normal 5 2 4 2 2 2 2 3" xfId="11597" xr:uid="{C5B9C62E-E0AA-47C4-B579-6DC27352B319}"/>
    <cellStyle name="Normal 5 2 4 2 2 2 3" xfId="5220" xr:uid="{00000000-0005-0000-0000-0000D8180000}"/>
    <cellStyle name="Normal 5 2 4 2 2 2 3 2" xfId="13667" xr:uid="{EDE7EECA-C4A7-423E-B2F6-E1597E42B458}"/>
    <cellStyle name="Normal 5 2 4 2 2 2 4" xfId="9452" xr:uid="{4E57E1D2-9CF7-4889-B4B3-472473012E5A}"/>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5" xr:uid="{6A2CF032-790F-45BC-86D1-61C5B8FBEF6D}"/>
    <cellStyle name="Normal 5 2 4 2 2 3 2 3" xfId="12010" xr:uid="{AC361E11-3824-4571-9173-44F48BA823E5}"/>
    <cellStyle name="Normal 5 2 4 2 2 3 3" xfId="5633" xr:uid="{00000000-0005-0000-0000-0000DC180000}"/>
    <cellStyle name="Normal 5 2 4 2 2 3 3 2" xfId="14080" xr:uid="{136FC850-0929-46D7-AB5B-39D6B55E5E0F}"/>
    <cellStyle name="Normal 5 2 4 2 2 3 4" xfId="9865" xr:uid="{FE71E715-BBEA-42EB-82AB-B72E13D56803}"/>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38" xr:uid="{8EF874DA-BA15-4992-BDD0-75C10554F86A}"/>
    <cellStyle name="Normal 5 2 4 2 2 4 2 3" xfId="12423" xr:uid="{97934C1D-81E3-4712-B507-197954D03073}"/>
    <cellStyle name="Normal 5 2 4 2 2 4 3" xfId="6046" xr:uid="{00000000-0005-0000-0000-0000E0180000}"/>
    <cellStyle name="Normal 5 2 4 2 2 4 3 2" xfId="14493" xr:uid="{4C5DC037-0703-44C5-AC33-55CCCA205F29}"/>
    <cellStyle name="Normal 5 2 4 2 2 4 4" xfId="10278" xr:uid="{CAA25F22-65EE-4761-A4C3-2B04C54DB5B9}"/>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1" xr:uid="{F9AD329E-9893-496E-AF2F-00B97B40D80F}"/>
    <cellStyle name="Normal 5 2 4 2 2 5 2 3" xfId="12836" xr:uid="{B53E95DE-1FCC-4B0A-BA60-E7CFDD74EDCD}"/>
    <cellStyle name="Normal 5 2 4 2 2 5 3" xfId="6459" xr:uid="{00000000-0005-0000-0000-0000E4180000}"/>
    <cellStyle name="Normal 5 2 4 2 2 5 3 2" xfId="14906" xr:uid="{96D311B1-0F7E-4727-9E65-6E4AC87976C3}"/>
    <cellStyle name="Normal 5 2 4 2 2 5 4" xfId="10691" xr:uid="{137DE711-E6BB-4644-983F-776572117FD8}"/>
    <cellStyle name="Normal 5 2 4 2 2 6" xfId="2589" xr:uid="{00000000-0005-0000-0000-0000E5180000}"/>
    <cellStyle name="Normal 5 2 4 2 2 6 2" xfId="6872" xr:uid="{00000000-0005-0000-0000-0000E6180000}"/>
    <cellStyle name="Normal 5 2 4 2 2 6 2 2" xfId="15319" xr:uid="{BAF244A5-543B-448C-A1ED-9B33F1E6D51D}"/>
    <cellStyle name="Normal 5 2 4 2 2 6 3" xfId="11104" xr:uid="{356AD02E-CF97-4DEA-B062-D243CBC138C4}"/>
    <cellStyle name="Normal 5 2 4 2 2 7" xfId="4807" xr:uid="{00000000-0005-0000-0000-0000E7180000}"/>
    <cellStyle name="Normal 5 2 4 2 2 7 2" xfId="13254" xr:uid="{2A1634BC-9BDB-4C62-B22A-2468D6166FA8}"/>
    <cellStyle name="Normal 5 2 4 2 2 8" xfId="9039" xr:uid="{B9DCF68C-703C-48BC-A615-3B0E713219DF}"/>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1" xr:uid="{49B7D0FE-C6DF-456C-8AFE-A5D6635CADCF}"/>
    <cellStyle name="Normal 5 2 4 2 3 2 3" xfId="11596" xr:uid="{9C4280AD-C71A-4DF6-B30F-DED8B9512C87}"/>
    <cellStyle name="Normal 5 2 4 2 3 3" xfId="5219" xr:uid="{00000000-0005-0000-0000-0000EB180000}"/>
    <cellStyle name="Normal 5 2 4 2 3 3 2" xfId="13666" xr:uid="{A3F3D52A-C460-45D1-BC01-D50D7EB918DB}"/>
    <cellStyle name="Normal 5 2 4 2 3 4" xfId="9451" xr:uid="{59BB1592-C114-4F55-AB61-7423B01D0C43}"/>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4" xr:uid="{8757F0C2-78E5-473C-B885-B72B03AC5AFD}"/>
    <cellStyle name="Normal 5 2 4 2 4 2 3" xfId="12009" xr:uid="{BECBCE66-B57E-441F-ADF4-F88649EC72F1}"/>
    <cellStyle name="Normal 5 2 4 2 4 3" xfId="5632" xr:uid="{00000000-0005-0000-0000-0000EF180000}"/>
    <cellStyle name="Normal 5 2 4 2 4 3 2" xfId="14079" xr:uid="{D8ABC4E2-A719-4C3C-8B84-7AC37DC922E9}"/>
    <cellStyle name="Normal 5 2 4 2 4 4" xfId="9864" xr:uid="{5742E629-B44F-4F8F-B2C4-B8B97F7EFFE1}"/>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37" xr:uid="{DDDEA7E4-E549-4979-BE02-9C62417CE2E9}"/>
    <cellStyle name="Normal 5 2 4 2 5 2 3" xfId="12422" xr:uid="{D40CF4CA-1227-47A9-B7A3-216E64331D3E}"/>
    <cellStyle name="Normal 5 2 4 2 5 3" xfId="6045" xr:uid="{00000000-0005-0000-0000-0000F3180000}"/>
    <cellStyle name="Normal 5 2 4 2 5 3 2" xfId="14492" xr:uid="{3F24E1D7-C141-47E7-87BE-12F84CB85722}"/>
    <cellStyle name="Normal 5 2 4 2 5 4" xfId="10277" xr:uid="{88AFA1B6-47E0-45E9-9602-CCEAE3000385}"/>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0" xr:uid="{07D19DF0-6699-4960-9EF2-606B258B907F}"/>
    <cellStyle name="Normal 5 2 4 2 6 2 3" xfId="12835" xr:uid="{CA64B29D-A616-484A-9972-8CC7BA2CDAB4}"/>
    <cellStyle name="Normal 5 2 4 2 6 3" xfId="6458" xr:uid="{00000000-0005-0000-0000-0000F7180000}"/>
    <cellStyle name="Normal 5 2 4 2 6 3 2" xfId="14905" xr:uid="{517A1CE3-7030-40B4-81C4-DE38DD97750D}"/>
    <cellStyle name="Normal 5 2 4 2 6 4" xfId="10690" xr:uid="{F5A49B8D-FE49-471F-8FD9-4D9A3C03C3A2}"/>
    <cellStyle name="Normal 5 2 4 2 7" xfId="2588" xr:uid="{00000000-0005-0000-0000-0000F8180000}"/>
    <cellStyle name="Normal 5 2 4 2 7 2" xfId="6871" xr:uid="{00000000-0005-0000-0000-0000F9180000}"/>
    <cellStyle name="Normal 5 2 4 2 7 2 2" xfId="15318" xr:uid="{BAA08FA8-CC97-4CA3-8732-512B6240DE53}"/>
    <cellStyle name="Normal 5 2 4 2 7 3" xfId="11103" xr:uid="{A82C3397-85E7-4A2F-8893-2739681BB7A2}"/>
    <cellStyle name="Normal 5 2 4 2 8" xfId="4806" xr:uid="{00000000-0005-0000-0000-0000FA180000}"/>
    <cellStyle name="Normal 5 2 4 2 8 2" xfId="13253" xr:uid="{4BE247C2-8D82-4C03-8FCB-A4C2732FCA48}"/>
    <cellStyle name="Normal 5 2 4 2 9" xfId="9038" xr:uid="{F100CB13-43D4-42B4-B53D-BE7432233A0B}"/>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3" xr:uid="{2BD5CF37-5C59-43E8-80C9-26EE28A18460}"/>
    <cellStyle name="Normal 5 2 4 3 2 2 3" xfId="11598" xr:uid="{7C06AFD7-7089-4C2F-8611-5D4B94129B43}"/>
    <cellStyle name="Normal 5 2 4 3 2 3" xfId="5221" xr:uid="{00000000-0005-0000-0000-0000FF180000}"/>
    <cellStyle name="Normal 5 2 4 3 2 3 2" xfId="13668" xr:uid="{40623BDD-640D-4132-B7A9-724580217EFC}"/>
    <cellStyle name="Normal 5 2 4 3 2 4" xfId="9453" xr:uid="{4E8BE866-D535-433C-B464-E1ADD0F6E95E}"/>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6" xr:uid="{B2643752-9A07-42A5-BD94-DCB371FBEBCA}"/>
    <cellStyle name="Normal 5 2 4 3 3 2 3" xfId="12011" xr:uid="{C4E3AAE8-A713-4435-8891-7F25F76A9590}"/>
    <cellStyle name="Normal 5 2 4 3 3 3" xfId="5634" xr:uid="{00000000-0005-0000-0000-000003190000}"/>
    <cellStyle name="Normal 5 2 4 3 3 3 2" xfId="14081" xr:uid="{912A83BB-D0E5-4532-8433-7F3A8A02A1CB}"/>
    <cellStyle name="Normal 5 2 4 3 3 4" xfId="9866" xr:uid="{9E133FD0-6730-4122-89DF-967C912902BC}"/>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39" xr:uid="{EE6C73BE-E456-4487-BD63-C696428FFD6E}"/>
    <cellStyle name="Normal 5 2 4 3 4 2 3" xfId="12424" xr:uid="{B417B8BF-F00F-4438-96FA-D09FEE0E3A5B}"/>
    <cellStyle name="Normal 5 2 4 3 4 3" xfId="6047" xr:uid="{00000000-0005-0000-0000-000007190000}"/>
    <cellStyle name="Normal 5 2 4 3 4 3 2" xfId="14494" xr:uid="{CB5C90C7-C1AF-4EA1-82C0-2B3DB7FDE0E1}"/>
    <cellStyle name="Normal 5 2 4 3 4 4" xfId="10279" xr:uid="{7E85669E-0794-42F7-8FFE-375D88432116}"/>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2" xr:uid="{07A57C3E-0DD9-4266-8646-C0CD85D9C17E}"/>
    <cellStyle name="Normal 5 2 4 3 5 2 3" xfId="12837" xr:uid="{8B9AC68A-7D5C-49EC-AC52-A56929D473A6}"/>
    <cellStyle name="Normal 5 2 4 3 5 3" xfId="6460" xr:uid="{00000000-0005-0000-0000-00000B190000}"/>
    <cellStyle name="Normal 5 2 4 3 5 3 2" xfId="14907" xr:uid="{F11A34F6-132C-4E96-ACE4-38E06C8307DE}"/>
    <cellStyle name="Normal 5 2 4 3 5 4" xfId="10692" xr:uid="{B34A32BE-3AC1-4CBF-8288-454F936A52C9}"/>
    <cellStyle name="Normal 5 2 4 3 6" xfId="2590" xr:uid="{00000000-0005-0000-0000-00000C190000}"/>
    <cellStyle name="Normal 5 2 4 3 6 2" xfId="6873" xr:uid="{00000000-0005-0000-0000-00000D190000}"/>
    <cellStyle name="Normal 5 2 4 3 6 2 2" xfId="15320" xr:uid="{6464CA28-E1F3-489B-9356-1BE7477FB46A}"/>
    <cellStyle name="Normal 5 2 4 3 6 3" xfId="11105" xr:uid="{2EB0EC2B-60ED-4045-A344-C7C3312EE303}"/>
    <cellStyle name="Normal 5 2 4 3 7" xfId="4808" xr:uid="{00000000-0005-0000-0000-00000E190000}"/>
    <cellStyle name="Normal 5 2 4 3 7 2" xfId="13255" xr:uid="{7B03BD95-8295-4453-B20E-A591F5543381}"/>
    <cellStyle name="Normal 5 2 4 3 8" xfId="9040" xr:uid="{11785B22-DFD6-4346-8077-993C1DF85322}"/>
    <cellStyle name="Normal 5 2 4 4" xfId="906" xr:uid="{00000000-0005-0000-0000-00000F190000}"/>
    <cellStyle name="Normal 5 2 4 4 2" xfId="3141" xr:uid="{00000000-0005-0000-0000-000010190000}"/>
    <cellStyle name="Normal 5 2 4 4 2 2" xfId="7363" xr:uid="{00000000-0005-0000-0000-000011190000}"/>
    <cellStyle name="Normal 5 2 4 4 2 2 2" xfId="15810" xr:uid="{CA82B08F-FCE2-4FB2-BD92-B48A1A0E3633}"/>
    <cellStyle name="Normal 5 2 4 4 2 3" xfId="11595" xr:uid="{B824ADCE-0CC0-4FD6-B55A-C5CEFEF971BF}"/>
    <cellStyle name="Normal 5 2 4 4 3" xfId="5218" xr:uid="{00000000-0005-0000-0000-000012190000}"/>
    <cellStyle name="Normal 5 2 4 4 3 2" xfId="13665" xr:uid="{440F8DC2-7C9A-4580-8528-1BC1534DAD6D}"/>
    <cellStyle name="Normal 5 2 4 4 4" xfId="9450" xr:uid="{081EA1A4-9E51-45AC-AA80-B52DE2F67CB3}"/>
    <cellStyle name="Normal 5 2 4 5" xfId="1324" xr:uid="{00000000-0005-0000-0000-000013190000}"/>
    <cellStyle name="Normal 5 2 4 5 2" xfId="3554" xr:uid="{00000000-0005-0000-0000-000014190000}"/>
    <cellStyle name="Normal 5 2 4 5 2 2" xfId="7776" xr:uid="{00000000-0005-0000-0000-000015190000}"/>
    <cellStyle name="Normal 5 2 4 5 2 2 2" xfId="16223" xr:uid="{CB135F86-4550-4CFC-AD1D-88BF477EFB1F}"/>
    <cellStyle name="Normal 5 2 4 5 2 3" xfId="12008" xr:uid="{1F3018A7-CC37-443B-A37C-643E945E71E6}"/>
    <cellStyle name="Normal 5 2 4 5 3" xfId="5631" xr:uid="{00000000-0005-0000-0000-000016190000}"/>
    <cellStyle name="Normal 5 2 4 5 3 2" xfId="14078" xr:uid="{DD0640CE-E9E4-4356-9FE3-C44DE728D99C}"/>
    <cellStyle name="Normal 5 2 4 5 4" xfId="9863" xr:uid="{F17E3748-C0F7-4C21-92C6-66438408B8B8}"/>
    <cellStyle name="Normal 5 2 4 6" xfId="1737" xr:uid="{00000000-0005-0000-0000-000017190000}"/>
    <cellStyle name="Normal 5 2 4 6 2" xfId="3967" xr:uid="{00000000-0005-0000-0000-000018190000}"/>
    <cellStyle name="Normal 5 2 4 6 2 2" xfId="8189" xr:uid="{00000000-0005-0000-0000-000019190000}"/>
    <cellStyle name="Normal 5 2 4 6 2 2 2" xfId="16636" xr:uid="{281DAAB0-BA32-4066-8884-79EB7CBA7633}"/>
    <cellStyle name="Normal 5 2 4 6 2 3" xfId="12421" xr:uid="{541B37B1-B171-498B-B28B-69DC86EBEFAA}"/>
    <cellStyle name="Normal 5 2 4 6 3" xfId="6044" xr:uid="{00000000-0005-0000-0000-00001A190000}"/>
    <cellStyle name="Normal 5 2 4 6 3 2" xfId="14491" xr:uid="{CD1A07BA-8B35-4865-BFBF-D100A542419D}"/>
    <cellStyle name="Normal 5 2 4 6 4" xfId="10276" xr:uid="{9F4430A6-333B-448C-A050-28D0B1A96C4E}"/>
    <cellStyle name="Normal 5 2 4 7" xfId="2151" xr:uid="{00000000-0005-0000-0000-00001B190000}"/>
    <cellStyle name="Normal 5 2 4 7 2" xfId="4380" xr:uid="{00000000-0005-0000-0000-00001C190000}"/>
    <cellStyle name="Normal 5 2 4 7 2 2" xfId="8602" xr:uid="{00000000-0005-0000-0000-00001D190000}"/>
    <cellStyle name="Normal 5 2 4 7 2 2 2" xfId="17049" xr:uid="{4E84316C-5654-4FF0-928B-F4C09B8BF254}"/>
    <cellStyle name="Normal 5 2 4 7 2 3" xfId="12834" xr:uid="{0AAEBD97-BACD-4025-A563-F48F46604731}"/>
    <cellStyle name="Normal 5 2 4 7 3" xfId="6457" xr:uid="{00000000-0005-0000-0000-00001E190000}"/>
    <cellStyle name="Normal 5 2 4 7 3 2" xfId="14904" xr:uid="{9256C4EE-699C-491B-B07C-0E2A3EA8388D}"/>
    <cellStyle name="Normal 5 2 4 7 4" xfId="10689" xr:uid="{29DE3F59-70F1-47C9-9A0B-A6369A1766A7}"/>
    <cellStyle name="Normal 5 2 4 8" xfId="2587" xr:uid="{00000000-0005-0000-0000-00001F190000}"/>
    <cellStyle name="Normal 5 2 4 8 2" xfId="6870" xr:uid="{00000000-0005-0000-0000-000020190000}"/>
    <cellStyle name="Normal 5 2 4 8 2 2" xfId="15317" xr:uid="{450334F5-E9C5-454B-BB9B-843A1199C93E}"/>
    <cellStyle name="Normal 5 2 4 8 3" xfId="11102" xr:uid="{BD019B13-70EA-4B88-8B79-F7FD07834D3D}"/>
    <cellStyle name="Normal 5 2 4 9" xfId="4805" xr:uid="{00000000-0005-0000-0000-000021190000}"/>
    <cellStyle name="Normal 5 2 4 9 2" xfId="13252" xr:uid="{2C5639C0-E6D4-4111-8A64-1FBE5FC8EB98}"/>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5" xr:uid="{362CEF08-0D71-4437-B5F1-1FF29D92FC5D}"/>
    <cellStyle name="Normal 5 2 5 2 2 2 3" xfId="11600" xr:uid="{06D46460-94F3-4965-8BF2-4017CBA31A0E}"/>
    <cellStyle name="Normal 5 2 5 2 2 3" xfId="5223" xr:uid="{00000000-0005-0000-0000-000027190000}"/>
    <cellStyle name="Normal 5 2 5 2 2 3 2" xfId="13670" xr:uid="{491AF8ED-896B-4E46-8D43-4FE5D7FD86F2}"/>
    <cellStyle name="Normal 5 2 5 2 2 4" xfId="9455" xr:uid="{FED979E4-4DC3-4B5C-B3F3-24CFA2755E99}"/>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28" xr:uid="{FDB54D86-45E7-4BEA-AE02-1E16F0AB7BC9}"/>
    <cellStyle name="Normal 5 2 5 2 3 2 3" xfId="12013" xr:uid="{79422075-3A6A-4CB9-A710-142A79885536}"/>
    <cellStyle name="Normal 5 2 5 2 3 3" xfId="5636" xr:uid="{00000000-0005-0000-0000-00002B190000}"/>
    <cellStyle name="Normal 5 2 5 2 3 3 2" xfId="14083" xr:uid="{917F99DD-9B29-4D5B-B3EC-AAB4C9B6FD61}"/>
    <cellStyle name="Normal 5 2 5 2 3 4" xfId="9868" xr:uid="{2A6F5430-77CC-417D-9284-ECC72835FCF0}"/>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1" xr:uid="{8379CB94-532B-4ABE-930E-7C68E5263F71}"/>
    <cellStyle name="Normal 5 2 5 2 4 2 3" xfId="12426" xr:uid="{DE094D86-8A6B-4231-830C-678EF2FFF221}"/>
    <cellStyle name="Normal 5 2 5 2 4 3" xfId="6049" xr:uid="{00000000-0005-0000-0000-00002F190000}"/>
    <cellStyle name="Normal 5 2 5 2 4 3 2" xfId="14496" xr:uid="{AA0ED945-3644-4C08-9A7C-2663E21AB27A}"/>
    <cellStyle name="Normal 5 2 5 2 4 4" xfId="10281" xr:uid="{B2BC0D79-DE7A-46FF-BFC5-869537918B45}"/>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4" xr:uid="{0BA37F38-3440-497D-B42F-2C68DDBD6271}"/>
    <cellStyle name="Normal 5 2 5 2 5 2 3" xfId="12839" xr:uid="{EBEE9899-DA9B-4112-B35D-382076BA3244}"/>
    <cellStyle name="Normal 5 2 5 2 5 3" xfId="6462" xr:uid="{00000000-0005-0000-0000-000033190000}"/>
    <cellStyle name="Normal 5 2 5 2 5 3 2" xfId="14909" xr:uid="{6FE2A19D-2EA3-487D-B312-4A5E30CC763C}"/>
    <cellStyle name="Normal 5 2 5 2 5 4" xfId="10694" xr:uid="{214F0C94-3A2A-4B39-B7B0-68B5E53C34F3}"/>
    <cellStyle name="Normal 5 2 5 2 6" xfId="2592" xr:uid="{00000000-0005-0000-0000-000034190000}"/>
    <cellStyle name="Normal 5 2 5 2 6 2" xfId="6875" xr:uid="{00000000-0005-0000-0000-000035190000}"/>
    <cellStyle name="Normal 5 2 5 2 6 2 2" xfId="15322" xr:uid="{88097106-849F-4A1D-9C25-CC6D253D7A9F}"/>
    <cellStyle name="Normal 5 2 5 2 6 3" xfId="11107" xr:uid="{A62C9B4F-C5B1-422C-9143-47AF25AB9F76}"/>
    <cellStyle name="Normal 5 2 5 2 7" xfId="4810" xr:uid="{00000000-0005-0000-0000-000036190000}"/>
    <cellStyle name="Normal 5 2 5 2 7 2" xfId="13257" xr:uid="{62F9D124-CB94-43DB-A35E-80EEE5D41F88}"/>
    <cellStyle name="Normal 5 2 5 2 8" xfId="9042" xr:uid="{120C5A16-03AE-4A30-81D4-0832923FE8EE}"/>
    <cellStyle name="Normal 5 2 5 3" xfId="910" xr:uid="{00000000-0005-0000-0000-000037190000}"/>
    <cellStyle name="Normal 5 2 5 3 2" xfId="3145" xr:uid="{00000000-0005-0000-0000-000038190000}"/>
    <cellStyle name="Normal 5 2 5 3 2 2" xfId="7367" xr:uid="{00000000-0005-0000-0000-000039190000}"/>
    <cellStyle name="Normal 5 2 5 3 2 2 2" xfId="15814" xr:uid="{79643571-1318-40A1-95AD-28F524B1931C}"/>
    <cellStyle name="Normal 5 2 5 3 2 3" xfId="11599" xr:uid="{4AA383F4-2AA6-4548-A7A1-6A459FF46901}"/>
    <cellStyle name="Normal 5 2 5 3 3" xfId="5222" xr:uid="{00000000-0005-0000-0000-00003A190000}"/>
    <cellStyle name="Normal 5 2 5 3 3 2" xfId="13669" xr:uid="{BC502209-AF66-4CF4-877D-177767DEDE6B}"/>
    <cellStyle name="Normal 5 2 5 3 4" xfId="9454" xr:uid="{74E112DE-65FD-4A3A-A8A3-58B8AEBDFE0B}"/>
    <cellStyle name="Normal 5 2 5 4" xfId="1328" xr:uid="{00000000-0005-0000-0000-00003B190000}"/>
    <cellStyle name="Normal 5 2 5 4 2" xfId="3558" xr:uid="{00000000-0005-0000-0000-00003C190000}"/>
    <cellStyle name="Normal 5 2 5 4 2 2" xfId="7780" xr:uid="{00000000-0005-0000-0000-00003D190000}"/>
    <cellStyle name="Normal 5 2 5 4 2 2 2" xfId="16227" xr:uid="{E8D49CE1-2C43-4A52-A761-3332CDDD188C}"/>
    <cellStyle name="Normal 5 2 5 4 2 3" xfId="12012" xr:uid="{22580858-2621-48AF-AB6E-6AD3E4A634C6}"/>
    <cellStyle name="Normal 5 2 5 4 3" xfId="5635" xr:uid="{00000000-0005-0000-0000-00003E190000}"/>
    <cellStyle name="Normal 5 2 5 4 3 2" xfId="14082" xr:uid="{0386491E-5366-41F0-9A68-7FB84288003A}"/>
    <cellStyle name="Normal 5 2 5 4 4" xfId="9867" xr:uid="{06B83F07-EB2E-4F92-929A-B39EC98ABF10}"/>
    <cellStyle name="Normal 5 2 5 5" xfId="1741" xr:uid="{00000000-0005-0000-0000-00003F190000}"/>
    <cellStyle name="Normal 5 2 5 5 2" xfId="3971" xr:uid="{00000000-0005-0000-0000-000040190000}"/>
    <cellStyle name="Normal 5 2 5 5 2 2" xfId="8193" xr:uid="{00000000-0005-0000-0000-000041190000}"/>
    <cellStyle name="Normal 5 2 5 5 2 2 2" xfId="16640" xr:uid="{D496EDBF-79D9-418A-8C34-7E63B8F2307A}"/>
    <cellStyle name="Normal 5 2 5 5 2 3" xfId="12425" xr:uid="{933F6DFF-3029-49C1-9204-49AD2DAD836F}"/>
    <cellStyle name="Normal 5 2 5 5 3" xfId="6048" xr:uid="{00000000-0005-0000-0000-000042190000}"/>
    <cellStyle name="Normal 5 2 5 5 3 2" xfId="14495" xr:uid="{11D653C1-6149-43BA-A70D-8E8ED1AD7636}"/>
    <cellStyle name="Normal 5 2 5 5 4" xfId="10280" xr:uid="{B1C0A547-39B0-4EA6-B09D-CC7215957225}"/>
    <cellStyle name="Normal 5 2 5 6" xfId="2155" xr:uid="{00000000-0005-0000-0000-000043190000}"/>
    <cellStyle name="Normal 5 2 5 6 2" xfId="4384" xr:uid="{00000000-0005-0000-0000-000044190000}"/>
    <cellStyle name="Normal 5 2 5 6 2 2" xfId="8606" xr:uid="{00000000-0005-0000-0000-000045190000}"/>
    <cellStyle name="Normal 5 2 5 6 2 2 2" xfId="17053" xr:uid="{1617CDBA-C313-416C-8B58-9E6DF8BECFDE}"/>
    <cellStyle name="Normal 5 2 5 6 2 3" xfId="12838" xr:uid="{EA4F1D9B-FC51-45F5-A96D-AAE07E9B822D}"/>
    <cellStyle name="Normal 5 2 5 6 3" xfId="6461" xr:uid="{00000000-0005-0000-0000-000046190000}"/>
    <cellStyle name="Normal 5 2 5 6 3 2" xfId="14908" xr:uid="{3FDD9B09-8F03-4598-A4AC-DC482D18A037}"/>
    <cellStyle name="Normal 5 2 5 6 4" xfId="10693" xr:uid="{439B6506-BE88-4A99-BCF9-A7454614798D}"/>
    <cellStyle name="Normal 5 2 5 7" xfId="2591" xr:uid="{00000000-0005-0000-0000-000047190000}"/>
    <cellStyle name="Normal 5 2 5 7 2" xfId="6874" xr:uid="{00000000-0005-0000-0000-000048190000}"/>
    <cellStyle name="Normal 5 2 5 7 2 2" xfId="15321" xr:uid="{A7860E3E-DF16-4FB0-917A-7559AC2F8236}"/>
    <cellStyle name="Normal 5 2 5 7 3" xfId="11106" xr:uid="{5183FFE3-C660-46A0-83CA-F89069A2E756}"/>
    <cellStyle name="Normal 5 2 5 8" xfId="4809" xr:uid="{00000000-0005-0000-0000-000049190000}"/>
    <cellStyle name="Normal 5 2 5 8 2" xfId="13256" xr:uid="{EEF32A3D-60CC-4584-9E93-6FB2D7D20C21}"/>
    <cellStyle name="Normal 5 2 5 9" xfId="9041" xr:uid="{B58CC1A4-E1EF-4A00-8FE5-8D2DE021E762}"/>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6" xr:uid="{E7E298CB-DD79-44E7-A054-E9815A17D2C8}"/>
    <cellStyle name="Normal 5 2 6 2 2 3" xfId="11601" xr:uid="{B99B60C9-08E2-46DF-B3DB-7DDE8B9BFC4B}"/>
    <cellStyle name="Normal 5 2 6 2 3" xfId="5224" xr:uid="{00000000-0005-0000-0000-00004E190000}"/>
    <cellStyle name="Normal 5 2 6 2 3 2" xfId="13671" xr:uid="{44B92068-A7A4-4CA2-861E-76E65EAC7185}"/>
    <cellStyle name="Normal 5 2 6 2 4" xfId="9456" xr:uid="{48282DED-43CC-4AFA-8C16-C10E64C4C034}"/>
    <cellStyle name="Normal 5 2 6 3" xfId="1330" xr:uid="{00000000-0005-0000-0000-00004F190000}"/>
    <cellStyle name="Normal 5 2 6 3 2" xfId="3560" xr:uid="{00000000-0005-0000-0000-000050190000}"/>
    <cellStyle name="Normal 5 2 6 3 2 2" xfId="7782" xr:uid="{00000000-0005-0000-0000-000051190000}"/>
    <cellStyle name="Normal 5 2 6 3 2 2 2" xfId="16229" xr:uid="{490367AB-D7F9-4A33-BA80-33DF4C17D23D}"/>
    <cellStyle name="Normal 5 2 6 3 2 3" xfId="12014" xr:uid="{4708F80B-79D6-4243-8622-4E4D1064391D}"/>
    <cellStyle name="Normal 5 2 6 3 3" xfId="5637" xr:uid="{00000000-0005-0000-0000-000052190000}"/>
    <cellStyle name="Normal 5 2 6 3 3 2" xfId="14084" xr:uid="{ABC14279-8B68-426C-A265-9B54419F983F}"/>
    <cellStyle name="Normal 5 2 6 3 4" xfId="9869" xr:uid="{25D466BE-2C79-4EBC-A90F-071800235E81}"/>
    <cellStyle name="Normal 5 2 6 4" xfId="1743" xr:uid="{00000000-0005-0000-0000-000053190000}"/>
    <cellStyle name="Normal 5 2 6 4 2" xfId="3973" xr:uid="{00000000-0005-0000-0000-000054190000}"/>
    <cellStyle name="Normal 5 2 6 4 2 2" xfId="8195" xr:uid="{00000000-0005-0000-0000-000055190000}"/>
    <cellStyle name="Normal 5 2 6 4 2 2 2" xfId="16642" xr:uid="{936986A8-E5F2-454F-A39B-4C08FEB80CBF}"/>
    <cellStyle name="Normal 5 2 6 4 2 3" xfId="12427" xr:uid="{00C353F8-5289-45FF-9951-3AA4FDE5CEB1}"/>
    <cellStyle name="Normal 5 2 6 4 3" xfId="6050" xr:uid="{00000000-0005-0000-0000-000056190000}"/>
    <cellStyle name="Normal 5 2 6 4 3 2" xfId="14497" xr:uid="{EFEB9268-6E1A-48CA-A8B9-5E4F6F9979DD}"/>
    <cellStyle name="Normal 5 2 6 4 4" xfId="10282" xr:uid="{13B6098A-C6E4-4C3B-9BF7-2D43AF569BE7}"/>
    <cellStyle name="Normal 5 2 6 5" xfId="2157" xr:uid="{00000000-0005-0000-0000-000057190000}"/>
    <cellStyle name="Normal 5 2 6 5 2" xfId="4386" xr:uid="{00000000-0005-0000-0000-000058190000}"/>
    <cellStyle name="Normal 5 2 6 5 2 2" xfId="8608" xr:uid="{00000000-0005-0000-0000-000059190000}"/>
    <cellStyle name="Normal 5 2 6 5 2 2 2" xfId="17055" xr:uid="{858895E8-23D9-41ED-8B83-AA78139A8165}"/>
    <cellStyle name="Normal 5 2 6 5 2 3" xfId="12840" xr:uid="{84925DC6-54FA-40AC-ACEA-8E224A6736BE}"/>
    <cellStyle name="Normal 5 2 6 5 3" xfId="6463" xr:uid="{00000000-0005-0000-0000-00005A190000}"/>
    <cellStyle name="Normal 5 2 6 5 3 2" xfId="14910" xr:uid="{FDF6F40E-6240-4CDD-9344-9BA41AD54E82}"/>
    <cellStyle name="Normal 5 2 6 5 4" xfId="10695" xr:uid="{D152F48A-ED57-49E3-AB25-D28B806D1176}"/>
    <cellStyle name="Normal 5 2 6 6" xfId="2593" xr:uid="{00000000-0005-0000-0000-00005B190000}"/>
    <cellStyle name="Normal 5 2 6 6 2" xfId="6876" xr:uid="{00000000-0005-0000-0000-00005C190000}"/>
    <cellStyle name="Normal 5 2 6 6 2 2" xfId="15323" xr:uid="{0B09E912-10E9-465F-86B9-CFE8F37A94D5}"/>
    <cellStyle name="Normal 5 2 6 6 3" xfId="11108" xr:uid="{E55BB466-26A3-45C5-84A0-5EC26F3C286D}"/>
    <cellStyle name="Normal 5 2 6 7" xfId="4811" xr:uid="{00000000-0005-0000-0000-00005D190000}"/>
    <cellStyle name="Normal 5 2 6 7 2" xfId="13258" xr:uid="{C6A3B6AF-5F3B-4B33-BA9A-EB6616216564}"/>
    <cellStyle name="Normal 5 2 6 8" xfId="9043" xr:uid="{C663E184-70E3-402F-ADE2-48CA871B4DB4}"/>
    <cellStyle name="Normal 5 2 7" xfId="881" xr:uid="{00000000-0005-0000-0000-00005E190000}"/>
    <cellStyle name="Normal 5 2 7 2" xfId="3116" xr:uid="{00000000-0005-0000-0000-00005F190000}"/>
    <cellStyle name="Normal 5 2 7 2 2" xfId="7338" xr:uid="{00000000-0005-0000-0000-000060190000}"/>
    <cellStyle name="Normal 5 2 7 2 2 2" xfId="15785" xr:uid="{39D07BCE-7C8B-42EC-A831-97156F6696A2}"/>
    <cellStyle name="Normal 5 2 7 2 3" xfId="11570" xr:uid="{47BEDEE8-DEFC-4E77-AA2B-4FBA3C07FBF2}"/>
    <cellStyle name="Normal 5 2 7 3" xfId="5193" xr:uid="{00000000-0005-0000-0000-000061190000}"/>
    <cellStyle name="Normal 5 2 7 3 2" xfId="13640" xr:uid="{54A95CF2-3FB9-44BB-A9F3-55E79FA91BC0}"/>
    <cellStyle name="Normal 5 2 7 4" xfId="9425" xr:uid="{A4CB9C05-0884-4825-A28D-12333B3407F8}"/>
    <cellStyle name="Normal 5 2 8" xfId="1299" xr:uid="{00000000-0005-0000-0000-000062190000}"/>
    <cellStyle name="Normal 5 2 8 2" xfId="3529" xr:uid="{00000000-0005-0000-0000-000063190000}"/>
    <cellStyle name="Normal 5 2 8 2 2" xfId="7751" xr:uid="{00000000-0005-0000-0000-000064190000}"/>
    <cellStyle name="Normal 5 2 8 2 2 2" xfId="16198" xr:uid="{D01FED8A-6F15-4069-AEBA-650522A2C125}"/>
    <cellStyle name="Normal 5 2 8 2 3" xfId="11983" xr:uid="{7DAA8E97-DC83-4DAF-B839-ED9255FA3D7F}"/>
    <cellStyle name="Normal 5 2 8 3" xfId="5606" xr:uid="{00000000-0005-0000-0000-000065190000}"/>
    <cellStyle name="Normal 5 2 8 3 2" xfId="14053" xr:uid="{E2A276CB-665A-4048-BBF0-B5D9A49DE8EF}"/>
    <cellStyle name="Normal 5 2 8 4" xfId="9838" xr:uid="{88CE520B-2F2F-48BA-BBC5-1CE7F9E35B8F}"/>
    <cellStyle name="Normal 5 2 9" xfId="1712" xr:uid="{00000000-0005-0000-0000-000066190000}"/>
    <cellStyle name="Normal 5 2 9 2" xfId="3942" xr:uid="{00000000-0005-0000-0000-000067190000}"/>
    <cellStyle name="Normal 5 2 9 2 2" xfId="8164" xr:uid="{00000000-0005-0000-0000-000068190000}"/>
    <cellStyle name="Normal 5 2 9 2 2 2" xfId="16611" xr:uid="{BD62A6E2-064B-4172-9C5A-55F5322EF3EC}"/>
    <cellStyle name="Normal 5 2 9 2 3" xfId="12396" xr:uid="{160D6CCE-F15B-47FB-801D-FABAB15643AE}"/>
    <cellStyle name="Normal 5 2 9 3" xfId="6019" xr:uid="{00000000-0005-0000-0000-000069190000}"/>
    <cellStyle name="Normal 5 2 9 3 2" xfId="14466" xr:uid="{8906C832-8435-4ED6-9B2F-CAD5FC4B20C5}"/>
    <cellStyle name="Normal 5 2 9 4" xfId="10251" xr:uid="{C519277F-1BF7-4A31-8607-951D734B85A5}"/>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6" xr:uid="{8B268194-4070-42E2-995B-B755225D0A0D}"/>
    <cellStyle name="Normal 5 3 10 2 3" xfId="12841" xr:uid="{3C86357F-9492-4B7E-BA89-2A8F2EDBDC92}"/>
    <cellStyle name="Normal 5 3 10 3" xfId="6464" xr:uid="{00000000-0005-0000-0000-00006E190000}"/>
    <cellStyle name="Normal 5 3 10 3 2" xfId="14911" xr:uid="{3D35053A-F0E7-4DD7-9D20-172D1712767E}"/>
    <cellStyle name="Normal 5 3 10 4" xfId="10696" xr:uid="{FD778A7E-A3A1-4CB7-ABDF-590DA3C2E3CF}"/>
    <cellStyle name="Normal 5 3 11" xfId="2594" xr:uid="{00000000-0005-0000-0000-00006F190000}"/>
    <cellStyle name="Normal 5 3 11 2" xfId="6877" xr:uid="{00000000-0005-0000-0000-000070190000}"/>
    <cellStyle name="Normal 5 3 11 2 2" xfId="15324" xr:uid="{E26069E9-3B20-4D78-AD4C-2117C36E77E1}"/>
    <cellStyle name="Normal 5 3 11 3" xfId="11109" xr:uid="{130701AE-F397-4431-BA07-5C479230A2E8}"/>
    <cellStyle name="Normal 5 3 12" xfId="4812" xr:uid="{00000000-0005-0000-0000-000071190000}"/>
    <cellStyle name="Normal 5 3 12 2" xfId="13259" xr:uid="{E4837A24-69E2-46AD-A8F2-02E6A8121F80}"/>
    <cellStyle name="Normal 5 3 13" xfId="9044" xr:uid="{249006C5-A89C-433E-B157-2648A8E9A55F}"/>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0" xr:uid="{4FFA1EB9-0C62-44E0-8995-3A37F64C75DD}"/>
    <cellStyle name="Normal 5 3 3 11" xfId="9045" xr:uid="{90A42415-BE7B-4E53-B84C-B02190DC949A}"/>
    <cellStyle name="Normal 5 3 3 2" xfId="442" xr:uid="{00000000-0005-0000-0000-000076190000}"/>
    <cellStyle name="Normal 5 3 3 2 10" xfId="9046" xr:uid="{22538B2C-AD4B-433A-8C28-47789B07B7C7}"/>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1" xr:uid="{225AE086-6B42-491C-B85E-E8C211E3DBB4}"/>
    <cellStyle name="Normal 5 3 3 2 2 2 2 2 3" xfId="11606" xr:uid="{A4C772EC-7224-44E6-AABB-79EEFD3956BD}"/>
    <cellStyle name="Normal 5 3 3 2 2 2 2 3" xfId="5229" xr:uid="{00000000-0005-0000-0000-00007C190000}"/>
    <cellStyle name="Normal 5 3 3 2 2 2 2 3 2" xfId="13676" xr:uid="{3D57996E-F248-4E64-ABCD-7011461E9722}"/>
    <cellStyle name="Normal 5 3 3 2 2 2 2 4" xfId="9461" xr:uid="{C781F147-029B-4B72-B903-15786F977345}"/>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4" xr:uid="{E8132558-5784-498D-B4B7-70959FD45AEB}"/>
    <cellStyle name="Normal 5 3 3 2 2 2 3 2 3" xfId="12019" xr:uid="{42953DAA-B2D3-4CE6-BC73-3863450AA4D8}"/>
    <cellStyle name="Normal 5 3 3 2 2 2 3 3" xfId="5642" xr:uid="{00000000-0005-0000-0000-000080190000}"/>
    <cellStyle name="Normal 5 3 3 2 2 2 3 3 2" xfId="14089" xr:uid="{70BB5D55-60AC-4ABC-839E-F69F5BD821A5}"/>
    <cellStyle name="Normal 5 3 3 2 2 2 3 4" xfId="9874" xr:uid="{349D6383-99BA-40AB-B525-06D4E94F9413}"/>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47" xr:uid="{DE35E5EF-BD33-4FE7-9FE2-DC81A33EE591}"/>
    <cellStyle name="Normal 5 3 3 2 2 2 4 2 3" xfId="12432" xr:uid="{CEBB06B2-A202-40D1-96D1-B5A12DF2C573}"/>
    <cellStyle name="Normal 5 3 3 2 2 2 4 3" xfId="6055" xr:uid="{00000000-0005-0000-0000-000084190000}"/>
    <cellStyle name="Normal 5 3 3 2 2 2 4 3 2" xfId="14502" xr:uid="{CF401000-DC7D-446C-90FE-ABD536BB999A}"/>
    <cellStyle name="Normal 5 3 3 2 2 2 4 4" xfId="10287" xr:uid="{881DAE83-3EC7-43B9-83ED-51968A669892}"/>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0" xr:uid="{08CD5CFE-668F-4EA7-AB6C-B149EBDF8307}"/>
    <cellStyle name="Normal 5 3 3 2 2 2 5 2 3" xfId="12845" xr:uid="{6CDFEFF5-7BFB-48E6-ABDC-77A4D73CFD70}"/>
    <cellStyle name="Normal 5 3 3 2 2 2 5 3" xfId="6468" xr:uid="{00000000-0005-0000-0000-000088190000}"/>
    <cellStyle name="Normal 5 3 3 2 2 2 5 3 2" xfId="14915" xr:uid="{762A8055-D996-46FB-B926-4E5A48C4E384}"/>
    <cellStyle name="Normal 5 3 3 2 2 2 5 4" xfId="10700" xr:uid="{0DD3FF3D-5B26-4F14-9C5C-B6ABE377AC9F}"/>
    <cellStyle name="Normal 5 3 3 2 2 2 6" xfId="2598" xr:uid="{00000000-0005-0000-0000-000089190000}"/>
    <cellStyle name="Normal 5 3 3 2 2 2 6 2" xfId="6881" xr:uid="{00000000-0005-0000-0000-00008A190000}"/>
    <cellStyle name="Normal 5 3 3 2 2 2 6 2 2" xfId="15328" xr:uid="{631B4C02-AC6A-4003-9406-42465D9FBD3E}"/>
    <cellStyle name="Normal 5 3 3 2 2 2 6 3" xfId="11113" xr:uid="{34DFA5AC-0F3D-420A-9AAA-86B7767EBFFD}"/>
    <cellStyle name="Normal 5 3 3 2 2 2 7" xfId="4816" xr:uid="{00000000-0005-0000-0000-00008B190000}"/>
    <cellStyle name="Normal 5 3 3 2 2 2 7 2" xfId="13263" xr:uid="{F81C0B8F-62D4-420D-A6FF-FB3B6D3E996C}"/>
    <cellStyle name="Normal 5 3 3 2 2 2 8" xfId="9048" xr:uid="{81D3C705-B5C9-4842-B673-1E40D2285946}"/>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0" xr:uid="{0CC3C897-C025-4563-BA20-D771CC2B9B1B}"/>
    <cellStyle name="Normal 5 3 3 2 2 3 2 3" xfId="11605" xr:uid="{6B58C4B3-C90D-4530-ACCA-107D43A15A8A}"/>
    <cellStyle name="Normal 5 3 3 2 2 3 3" xfId="5228" xr:uid="{00000000-0005-0000-0000-00008F190000}"/>
    <cellStyle name="Normal 5 3 3 2 2 3 3 2" xfId="13675" xr:uid="{572F580A-6891-4C2E-873A-83D48350210D}"/>
    <cellStyle name="Normal 5 3 3 2 2 3 4" xfId="9460" xr:uid="{BC41E479-FA54-49DA-993F-79FBA0B2C8C6}"/>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3" xr:uid="{0DAF6DB2-45D3-4D5A-B440-314F694A8277}"/>
    <cellStyle name="Normal 5 3 3 2 2 4 2 3" xfId="12018" xr:uid="{31845415-1F73-42C2-82D9-FAD8FDD7497B}"/>
    <cellStyle name="Normal 5 3 3 2 2 4 3" xfId="5641" xr:uid="{00000000-0005-0000-0000-000093190000}"/>
    <cellStyle name="Normal 5 3 3 2 2 4 3 2" xfId="14088" xr:uid="{3B9E5F52-971D-4614-BC4E-91FFE2085F78}"/>
    <cellStyle name="Normal 5 3 3 2 2 4 4" xfId="9873" xr:uid="{870BFC63-8CBD-4F2E-B997-989DECE91151}"/>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6" xr:uid="{BED5F218-9CA3-4EA9-B7A1-ABA783386DCB}"/>
    <cellStyle name="Normal 5 3 3 2 2 5 2 3" xfId="12431" xr:uid="{9519BBBC-13AF-4B5A-86C5-4A300EA94767}"/>
    <cellStyle name="Normal 5 3 3 2 2 5 3" xfId="6054" xr:uid="{00000000-0005-0000-0000-000097190000}"/>
    <cellStyle name="Normal 5 3 3 2 2 5 3 2" xfId="14501" xr:uid="{F103193A-FADC-4050-A589-D70D75CD9819}"/>
    <cellStyle name="Normal 5 3 3 2 2 5 4" xfId="10286" xr:uid="{60BDDAE3-E12C-4C00-953B-06DCD7F2465F}"/>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59" xr:uid="{36BFF906-8E7D-495F-B3BC-E5FC3CB703C2}"/>
    <cellStyle name="Normal 5 3 3 2 2 6 2 3" xfId="12844" xr:uid="{6B623B84-CDB6-4A5D-9A80-EDCB5526576B}"/>
    <cellStyle name="Normal 5 3 3 2 2 6 3" xfId="6467" xr:uid="{00000000-0005-0000-0000-00009B190000}"/>
    <cellStyle name="Normal 5 3 3 2 2 6 3 2" xfId="14914" xr:uid="{72B6B45C-BDBD-4183-AA9C-884CACF047E4}"/>
    <cellStyle name="Normal 5 3 3 2 2 6 4" xfId="10699" xr:uid="{E38DE99B-DB2E-4D9F-8E21-0011CD949CFF}"/>
    <cellStyle name="Normal 5 3 3 2 2 7" xfId="2597" xr:uid="{00000000-0005-0000-0000-00009C190000}"/>
    <cellStyle name="Normal 5 3 3 2 2 7 2" xfId="6880" xr:uid="{00000000-0005-0000-0000-00009D190000}"/>
    <cellStyle name="Normal 5 3 3 2 2 7 2 2" xfId="15327" xr:uid="{F4F8FE8D-5194-4EB6-91A3-A9E5B51C66ED}"/>
    <cellStyle name="Normal 5 3 3 2 2 7 3" xfId="11112" xr:uid="{13DC7B28-C6FF-4C3E-86DB-644A0B9AE3F6}"/>
    <cellStyle name="Normal 5 3 3 2 2 8" xfId="4815" xr:uid="{00000000-0005-0000-0000-00009E190000}"/>
    <cellStyle name="Normal 5 3 3 2 2 8 2" xfId="13262" xr:uid="{437E75BC-2F98-4E9F-8584-BCBC0B3D3DF0}"/>
    <cellStyle name="Normal 5 3 3 2 2 9" xfId="9047" xr:uid="{CF366694-4E97-4FB1-B727-5A1B96402717}"/>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2" xr:uid="{2E3F3A7D-E44C-458F-B7E3-0FB45075DBC4}"/>
    <cellStyle name="Normal 5 3 3 2 3 2 2 3" xfId="11607" xr:uid="{70702538-4566-4F52-905A-F6F4615EEB0C}"/>
    <cellStyle name="Normal 5 3 3 2 3 2 3" xfId="5230" xr:uid="{00000000-0005-0000-0000-0000A3190000}"/>
    <cellStyle name="Normal 5 3 3 2 3 2 3 2" xfId="13677" xr:uid="{3EAC102B-17E4-4405-A2C8-8C30A976A9F4}"/>
    <cellStyle name="Normal 5 3 3 2 3 2 4" xfId="9462" xr:uid="{C7F01BC3-346A-4AA2-8389-457676B22D2C}"/>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5" xr:uid="{563D0F94-160F-4488-B74C-1EACA05FC27D}"/>
    <cellStyle name="Normal 5 3 3 2 3 3 2 3" xfId="12020" xr:uid="{4AAC2BB4-060F-4999-B76A-D941D9D316A4}"/>
    <cellStyle name="Normal 5 3 3 2 3 3 3" xfId="5643" xr:uid="{00000000-0005-0000-0000-0000A7190000}"/>
    <cellStyle name="Normal 5 3 3 2 3 3 3 2" xfId="14090" xr:uid="{0ECA2F88-BA9E-4A43-8334-BA565705B11A}"/>
    <cellStyle name="Normal 5 3 3 2 3 3 4" xfId="9875" xr:uid="{D3BE4AAA-FE71-4466-A5A9-A5ED65897419}"/>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48" xr:uid="{C9039A26-49D7-4CB4-84E9-AB8FEE752D82}"/>
    <cellStyle name="Normal 5 3 3 2 3 4 2 3" xfId="12433" xr:uid="{278E9F55-C126-4E2E-9666-83972319BFA6}"/>
    <cellStyle name="Normal 5 3 3 2 3 4 3" xfId="6056" xr:uid="{00000000-0005-0000-0000-0000AB190000}"/>
    <cellStyle name="Normal 5 3 3 2 3 4 3 2" xfId="14503" xr:uid="{541F356C-82F8-448D-8B86-94013BDF9BBC}"/>
    <cellStyle name="Normal 5 3 3 2 3 4 4" xfId="10288" xr:uid="{F2CF4560-7D82-4C6B-A25E-A3DD870823B8}"/>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1" xr:uid="{B5E50A3A-981C-4F6C-8184-4A098C07F532}"/>
    <cellStyle name="Normal 5 3 3 2 3 5 2 3" xfId="12846" xr:uid="{FFAF3A54-93BD-4E52-8B02-CCBD8D1AACFD}"/>
    <cellStyle name="Normal 5 3 3 2 3 5 3" xfId="6469" xr:uid="{00000000-0005-0000-0000-0000AF190000}"/>
    <cellStyle name="Normal 5 3 3 2 3 5 3 2" xfId="14916" xr:uid="{99A86ECC-EF53-4DE0-9341-0F2AC62D8E1C}"/>
    <cellStyle name="Normal 5 3 3 2 3 5 4" xfId="10701" xr:uid="{D5E0D204-6E70-48A1-9EE7-FCD0A9750251}"/>
    <cellStyle name="Normal 5 3 3 2 3 6" xfId="2599" xr:uid="{00000000-0005-0000-0000-0000B0190000}"/>
    <cellStyle name="Normal 5 3 3 2 3 6 2" xfId="6882" xr:uid="{00000000-0005-0000-0000-0000B1190000}"/>
    <cellStyle name="Normal 5 3 3 2 3 6 2 2" xfId="15329" xr:uid="{7EE0F8F6-8A06-477D-802C-6D76E82A2B50}"/>
    <cellStyle name="Normal 5 3 3 2 3 6 3" xfId="11114" xr:uid="{4858ADD0-6040-4514-B66D-856CB766AB09}"/>
    <cellStyle name="Normal 5 3 3 2 3 7" xfId="4817" xr:uid="{00000000-0005-0000-0000-0000B2190000}"/>
    <cellStyle name="Normal 5 3 3 2 3 7 2" xfId="13264" xr:uid="{CDB63269-2D04-46C8-9713-020D8B583996}"/>
    <cellStyle name="Normal 5 3 3 2 3 8" xfId="9049" xr:uid="{9FD9D17E-AF09-4651-AD02-5D6DA2F709DE}"/>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19" xr:uid="{F9F166C9-AC08-4B16-BA95-E81E5C1F5A77}"/>
    <cellStyle name="Normal 5 3 3 2 4 2 3" xfId="11604" xr:uid="{32C1919F-2BAE-4290-B9BE-9EE562C860E1}"/>
    <cellStyle name="Normal 5 3 3 2 4 3" xfId="5227" xr:uid="{00000000-0005-0000-0000-0000B6190000}"/>
    <cellStyle name="Normal 5 3 3 2 4 3 2" xfId="13674" xr:uid="{A6833CF0-FFF1-4744-BD03-9C20C8FD3F38}"/>
    <cellStyle name="Normal 5 3 3 2 4 4" xfId="9459" xr:uid="{CC1A3228-FEF8-4E37-A3D2-36D118565E39}"/>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2" xr:uid="{79559A9A-82DF-49CC-A118-159E33AD1225}"/>
    <cellStyle name="Normal 5 3 3 2 5 2 3" xfId="12017" xr:uid="{6E2DC29A-40A5-43D0-BC9C-8F1D4635242A}"/>
    <cellStyle name="Normal 5 3 3 2 5 3" xfId="5640" xr:uid="{00000000-0005-0000-0000-0000BA190000}"/>
    <cellStyle name="Normal 5 3 3 2 5 3 2" xfId="14087" xr:uid="{39FE8F85-2137-4F84-BA59-A98D87D27D8E}"/>
    <cellStyle name="Normal 5 3 3 2 5 4" xfId="9872" xr:uid="{72E875B7-245E-4215-85D1-23E6DD31611F}"/>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5" xr:uid="{4872AE5B-F0F3-47FF-AE1D-B21BC1EDEC69}"/>
    <cellStyle name="Normal 5 3 3 2 6 2 3" xfId="12430" xr:uid="{041CC26B-1B4B-4B1E-BC73-97D03C408061}"/>
    <cellStyle name="Normal 5 3 3 2 6 3" xfId="6053" xr:uid="{00000000-0005-0000-0000-0000BE190000}"/>
    <cellStyle name="Normal 5 3 3 2 6 3 2" xfId="14500" xr:uid="{860485C7-807E-41ED-B5C6-D49445572CAE}"/>
    <cellStyle name="Normal 5 3 3 2 6 4" xfId="10285" xr:uid="{F53CD82A-E1AF-48BE-85C6-E3D6A0D3F72F}"/>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58" xr:uid="{42A5E566-DB17-42C2-A280-847F7A0619F7}"/>
    <cellStyle name="Normal 5 3 3 2 7 2 3" xfId="12843" xr:uid="{84BD0BE6-68AF-4923-BB38-F4CFAB7688FF}"/>
    <cellStyle name="Normal 5 3 3 2 7 3" xfId="6466" xr:uid="{00000000-0005-0000-0000-0000C2190000}"/>
    <cellStyle name="Normal 5 3 3 2 7 3 2" xfId="14913" xr:uid="{14E81C0C-3308-4322-9E1A-83C94174E388}"/>
    <cellStyle name="Normal 5 3 3 2 7 4" xfId="10698" xr:uid="{A775A6B8-44FA-4213-A7A8-1FF7764C676F}"/>
    <cellStyle name="Normal 5 3 3 2 8" xfId="2596" xr:uid="{00000000-0005-0000-0000-0000C3190000}"/>
    <cellStyle name="Normal 5 3 3 2 8 2" xfId="6879" xr:uid="{00000000-0005-0000-0000-0000C4190000}"/>
    <cellStyle name="Normal 5 3 3 2 8 2 2" xfId="15326" xr:uid="{2162519D-3254-4BD5-AE94-BE485617AFEC}"/>
    <cellStyle name="Normal 5 3 3 2 8 3" xfId="11111" xr:uid="{8E23CFBD-3F71-41EA-A752-91C718BE70F2}"/>
    <cellStyle name="Normal 5 3 3 2 9" xfId="4814" xr:uid="{00000000-0005-0000-0000-0000C5190000}"/>
    <cellStyle name="Normal 5 3 3 2 9 2" xfId="13261" xr:uid="{CC66AD78-443E-4C34-B642-585E25722D08}"/>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4" xr:uid="{2ECCB2EB-8D93-41A6-B22F-96E2AD2BAAD9}"/>
    <cellStyle name="Normal 5 3 3 3 2 2 2 3" xfId="11609" xr:uid="{3A75E9FA-804F-4DA3-B978-DD5F62DAF501}"/>
    <cellStyle name="Normal 5 3 3 3 2 2 3" xfId="5232" xr:uid="{00000000-0005-0000-0000-0000CB190000}"/>
    <cellStyle name="Normal 5 3 3 3 2 2 3 2" xfId="13679" xr:uid="{17274654-9130-4BAD-8712-186E8B8091C7}"/>
    <cellStyle name="Normal 5 3 3 3 2 2 4" xfId="9464" xr:uid="{46B25FFE-5DCC-45EA-B3B2-60C8CA85F97C}"/>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37" xr:uid="{E560B5B8-7B9D-4F7B-BBC4-3151F18362DB}"/>
    <cellStyle name="Normal 5 3 3 3 2 3 2 3" xfId="12022" xr:uid="{923D0A6F-65FE-4B24-827E-C1D0E4768A9E}"/>
    <cellStyle name="Normal 5 3 3 3 2 3 3" xfId="5645" xr:uid="{00000000-0005-0000-0000-0000CF190000}"/>
    <cellStyle name="Normal 5 3 3 3 2 3 3 2" xfId="14092" xr:uid="{05DD6D50-D26C-477C-AA6F-2FA789562DCE}"/>
    <cellStyle name="Normal 5 3 3 3 2 3 4" xfId="9877" xr:uid="{0BDCC59F-A64A-4951-8295-23B6EC3E6FDF}"/>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0" xr:uid="{CFF9D88B-B734-4793-BE8A-9B724279E991}"/>
    <cellStyle name="Normal 5 3 3 3 2 4 2 3" xfId="12435" xr:uid="{4CED5F10-6888-48C2-8033-C15A1E3167AB}"/>
    <cellStyle name="Normal 5 3 3 3 2 4 3" xfId="6058" xr:uid="{00000000-0005-0000-0000-0000D3190000}"/>
    <cellStyle name="Normal 5 3 3 3 2 4 3 2" xfId="14505" xr:uid="{E82D85A3-10EB-48DC-A0FB-E2F8F934E60B}"/>
    <cellStyle name="Normal 5 3 3 3 2 4 4" xfId="10290" xr:uid="{49712B25-AEDF-450C-AD6F-BF81937BB24A}"/>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3" xr:uid="{3F4088D8-E8AC-46F0-931A-D96864F271C8}"/>
    <cellStyle name="Normal 5 3 3 3 2 5 2 3" xfId="12848" xr:uid="{F75A2AC2-A218-49C9-8C1C-EB979D916561}"/>
    <cellStyle name="Normal 5 3 3 3 2 5 3" xfId="6471" xr:uid="{00000000-0005-0000-0000-0000D7190000}"/>
    <cellStyle name="Normal 5 3 3 3 2 5 3 2" xfId="14918" xr:uid="{E2BFEC88-5BED-4A27-8984-A045641B5087}"/>
    <cellStyle name="Normal 5 3 3 3 2 5 4" xfId="10703" xr:uid="{54ED9703-B1BC-47E0-9B91-886A10CD0050}"/>
    <cellStyle name="Normal 5 3 3 3 2 6" xfId="2601" xr:uid="{00000000-0005-0000-0000-0000D8190000}"/>
    <cellStyle name="Normal 5 3 3 3 2 6 2" xfId="6884" xr:uid="{00000000-0005-0000-0000-0000D9190000}"/>
    <cellStyle name="Normal 5 3 3 3 2 6 2 2" xfId="15331" xr:uid="{B6735751-9F57-4423-8F99-228D98323EFF}"/>
    <cellStyle name="Normal 5 3 3 3 2 6 3" xfId="11116" xr:uid="{4A65F374-CCC0-49C9-BA1C-FDAD39A7B45F}"/>
    <cellStyle name="Normal 5 3 3 3 2 7" xfId="4819" xr:uid="{00000000-0005-0000-0000-0000DA190000}"/>
    <cellStyle name="Normal 5 3 3 3 2 7 2" xfId="13266" xr:uid="{04E17043-AF3D-4EBD-812E-296AF2D236FD}"/>
    <cellStyle name="Normal 5 3 3 3 2 8" xfId="9051" xr:uid="{F16072CD-3944-4CE5-9A80-6FF6A3E6794D}"/>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3" xr:uid="{6C831ECC-C13B-4D7C-9BA5-B684EA558215}"/>
    <cellStyle name="Normal 5 3 3 3 3 2 3" xfId="11608" xr:uid="{0E61EB9C-26AE-49B0-BEB3-DA05FDA27618}"/>
    <cellStyle name="Normal 5 3 3 3 3 3" xfId="5231" xr:uid="{00000000-0005-0000-0000-0000DE190000}"/>
    <cellStyle name="Normal 5 3 3 3 3 3 2" xfId="13678" xr:uid="{2D142FD5-5718-475D-9714-9580C6AF0914}"/>
    <cellStyle name="Normal 5 3 3 3 3 4" xfId="9463" xr:uid="{E9071E55-159B-4325-8E9B-0C8DACCEF27A}"/>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6" xr:uid="{D370E988-7237-4A16-AB80-DA286CF33386}"/>
    <cellStyle name="Normal 5 3 3 3 4 2 3" xfId="12021" xr:uid="{A9A82AD4-8988-4F5F-8054-487C408C2A2C}"/>
    <cellStyle name="Normal 5 3 3 3 4 3" xfId="5644" xr:uid="{00000000-0005-0000-0000-0000E2190000}"/>
    <cellStyle name="Normal 5 3 3 3 4 3 2" xfId="14091" xr:uid="{C4C0BA2E-0AB6-47BA-BD68-97CA0E9233C9}"/>
    <cellStyle name="Normal 5 3 3 3 4 4" xfId="9876" xr:uid="{44AB86BA-2028-4712-BB56-F4FB5213A033}"/>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49" xr:uid="{DE99FDC2-782D-4908-BDBC-F9E3C6499C25}"/>
    <cellStyle name="Normal 5 3 3 3 5 2 3" xfId="12434" xr:uid="{E6FA392B-1F8A-418B-AA36-54071F25A04F}"/>
    <cellStyle name="Normal 5 3 3 3 5 3" xfId="6057" xr:uid="{00000000-0005-0000-0000-0000E6190000}"/>
    <cellStyle name="Normal 5 3 3 3 5 3 2" xfId="14504" xr:uid="{AE6C13E5-102E-48DD-AAE4-FDE6AD4E70A1}"/>
    <cellStyle name="Normal 5 3 3 3 5 4" xfId="10289" xr:uid="{00026419-E46F-41DA-B3CE-DC497DE5E39A}"/>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2" xr:uid="{15C16DBB-D2DE-4A61-B205-A0297FEF9B98}"/>
    <cellStyle name="Normal 5 3 3 3 6 2 3" xfId="12847" xr:uid="{7769E213-593B-4E19-BFAA-321A6DAA5AC0}"/>
    <cellStyle name="Normal 5 3 3 3 6 3" xfId="6470" xr:uid="{00000000-0005-0000-0000-0000EA190000}"/>
    <cellStyle name="Normal 5 3 3 3 6 3 2" xfId="14917" xr:uid="{7F2CBABC-0BF2-4F36-A5AD-657C3DE423F8}"/>
    <cellStyle name="Normal 5 3 3 3 6 4" xfId="10702" xr:uid="{4F5FE8FC-C194-4594-B0E3-3F5E1BBDAC70}"/>
    <cellStyle name="Normal 5 3 3 3 7" xfId="2600" xr:uid="{00000000-0005-0000-0000-0000EB190000}"/>
    <cellStyle name="Normal 5 3 3 3 7 2" xfId="6883" xr:uid="{00000000-0005-0000-0000-0000EC190000}"/>
    <cellStyle name="Normal 5 3 3 3 7 2 2" xfId="15330" xr:uid="{8D88478B-3D39-437D-880B-6C3100B20764}"/>
    <cellStyle name="Normal 5 3 3 3 7 3" xfId="11115" xr:uid="{74713DD2-00F5-4BE9-9790-AFA43F83CC8A}"/>
    <cellStyle name="Normal 5 3 3 3 8" xfId="4818" xr:uid="{00000000-0005-0000-0000-0000ED190000}"/>
    <cellStyle name="Normal 5 3 3 3 8 2" xfId="13265" xr:uid="{3DA5D112-E87C-4066-BDF5-6E0B7910EE5D}"/>
    <cellStyle name="Normal 5 3 3 3 9" xfId="9050" xr:uid="{6D0A6367-BB58-44C6-9726-7284C2E856E7}"/>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5" xr:uid="{6B2CEF11-94AD-49FB-9479-FFE671D7A7C5}"/>
    <cellStyle name="Normal 5 3 3 4 2 2 3" xfId="11610" xr:uid="{B14FCBEB-F6FA-47C0-B8FF-2137EE0CFE30}"/>
    <cellStyle name="Normal 5 3 3 4 2 3" xfId="5233" xr:uid="{00000000-0005-0000-0000-0000F2190000}"/>
    <cellStyle name="Normal 5 3 3 4 2 3 2" xfId="13680" xr:uid="{14B7E94D-564F-40F1-942C-B2D9F0D72274}"/>
    <cellStyle name="Normal 5 3 3 4 2 4" xfId="9465" xr:uid="{F0BEABE4-D38A-42DD-89E7-0EDE0C77561A}"/>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38" xr:uid="{3D6B0406-4346-433C-A0D9-D3E5393D77E4}"/>
    <cellStyle name="Normal 5 3 3 4 3 2 3" xfId="12023" xr:uid="{3DC5563F-2E12-45F0-BADC-5AA316E99C6E}"/>
    <cellStyle name="Normal 5 3 3 4 3 3" xfId="5646" xr:uid="{00000000-0005-0000-0000-0000F6190000}"/>
    <cellStyle name="Normal 5 3 3 4 3 3 2" xfId="14093" xr:uid="{CB42E67E-9434-4CEB-A5BB-73CC30CD4ED7}"/>
    <cellStyle name="Normal 5 3 3 4 3 4" xfId="9878" xr:uid="{F859E02C-757B-483E-B07A-9B7143AD4B90}"/>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1" xr:uid="{0F941239-0CBB-4941-B907-AFA45B291D53}"/>
    <cellStyle name="Normal 5 3 3 4 4 2 3" xfId="12436" xr:uid="{1C7E0C8A-E2F9-4F05-B8D7-9A1D4184C055}"/>
    <cellStyle name="Normal 5 3 3 4 4 3" xfId="6059" xr:uid="{00000000-0005-0000-0000-0000FA190000}"/>
    <cellStyle name="Normal 5 3 3 4 4 3 2" xfId="14506" xr:uid="{2ADE17F6-CD06-46D8-A6BB-3E1276DDB372}"/>
    <cellStyle name="Normal 5 3 3 4 4 4" xfId="10291" xr:uid="{05CE2BC3-456E-4A97-A8E7-B22FB3A2BC9E}"/>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4" xr:uid="{D3F3FBCA-CE83-4712-B4FF-966281DDFB8F}"/>
    <cellStyle name="Normal 5 3 3 4 5 2 3" xfId="12849" xr:uid="{54A3BC85-9DA6-4471-8F23-AF3E055ADA5A}"/>
    <cellStyle name="Normal 5 3 3 4 5 3" xfId="6472" xr:uid="{00000000-0005-0000-0000-0000FE190000}"/>
    <cellStyle name="Normal 5 3 3 4 5 3 2" xfId="14919" xr:uid="{A788E49E-BDFC-43DE-9E67-0887CA756392}"/>
    <cellStyle name="Normal 5 3 3 4 5 4" xfId="10704" xr:uid="{8EB20874-A980-41F2-B2BA-178038C36441}"/>
    <cellStyle name="Normal 5 3 3 4 6" xfId="2602" xr:uid="{00000000-0005-0000-0000-0000FF190000}"/>
    <cellStyle name="Normal 5 3 3 4 6 2" xfId="6885" xr:uid="{00000000-0005-0000-0000-0000001A0000}"/>
    <cellStyle name="Normal 5 3 3 4 6 2 2" xfId="15332" xr:uid="{1571D18D-806E-4A3A-B2F3-B89A297D957E}"/>
    <cellStyle name="Normal 5 3 3 4 6 3" xfId="11117" xr:uid="{1D876C10-E88C-47FF-A63C-019064B3CC6D}"/>
    <cellStyle name="Normal 5 3 3 4 7" xfId="4820" xr:uid="{00000000-0005-0000-0000-0000011A0000}"/>
    <cellStyle name="Normal 5 3 3 4 7 2" xfId="13267" xr:uid="{3485277E-5434-45B1-89A2-3B1C7770DFDE}"/>
    <cellStyle name="Normal 5 3 3 4 8" xfId="9052" xr:uid="{04BAC22E-A368-4448-99E9-5D09C5E3F1CC}"/>
    <cellStyle name="Normal 5 3 3 5" xfId="915" xr:uid="{00000000-0005-0000-0000-0000021A0000}"/>
    <cellStyle name="Normal 5 3 3 5 2" xfId="3149" xr:uid="{00000000-0005-0000-0000-0000031A0000}"/>
    <cellStyle name="Normal 5 3 3 5 2 2" xfId="7371" xr:uid="{00000000-0005-0000-0000-0000041A0000}"/>
    <cellStyle name="Normal 5 3 3 5 2 2 2" xfId="15818" xr:uid="{7154A372-9FA7-4C4F-AF66-BE259B5BE80A}"/>
    <cellStyle name="Normal 5 3 3 5 2 3" xfId="11603" xr:uid="{246B2342-2CB4-4C9F-A54E-7427D4B34A22}"/>
    <cellStyle name="Normal 5 3 3 5 3" xfId="5226" xr:uid="{00000000-0005-0000-0000-0000051A0000}"/>
    <cellStyle name="Normal 5 3 3 5 3 2" xfId="13673" xr:uid="{0327C09A-04D1-49DF-AA4F-BB44466008D6}"/>
    <cellStyle name="Normal 5 3 3 5 4" xfId="9458" xr:uid="{1BA3C08E-916F-4101-84E3-DBF23E974BE0}"/>
    <cellStyle name="Normal 5 3 3 6" xfId="1332" xr:uid="{00000000-0005-0000-0000-0000061A0000}"/>
    <cellStyle name="Normal 5 3 3 6 2" xfId="3562" xr:uid="{00000000-0005-0000-0000-0000071A0000}"/>
    <cellStyle name="Normal 5 3 3 6 2 2" xfId="7784" xr:uid="{00000000-0005-0000-0000-0000081A0000}"/>
    <cellStyle name="Normal 5 3 3 6 2 2 2" xfId="16231" xr:uid="{53CF0DB2-D17F-4FD1-846B-5237D29EAF49}"/>
    <cellStyle name="Normal 5 3 3 6 2 3" xfId="12016" xr:uid="{DEC380EB-FCD7-478C-9420-698477ACF25F}"/>
    <cellStyle name="Normal 5 3 3 6 3" xfId="5639" xr:uid="{00000000-0005-0000-0000-0000091A0000}"/>
    <cellStyle name="Normal 5 3 3 6 3 2" xfId="14086" xr:uid="{B0C45985-8952-4361-B5CF-08977FE5F885}"/>
    <cellStyle name="Normal 5 3 3 6 4" xfId="9871" xr:uid="{A789E04C-DE96-46B2-8D40-C14DC54D5999}"/>
    <cellStyle name="Normal 5 3 3 7" xfId="1745" xr:uid="{00000000-0005-0000-0000-00000A1A0000}"/>
    <cellStyle name="Normal 5 3 3 7 2" xfId="3975" xr:uid="{00000000-0005-0000-0000-00000B1A0000}"/>
    <cellStyle name="Normal 5 3 3 7 2 2" xfId="8197" xr:uid="{00000000-0005-0000-0000-00000C1A0000}"/>
    <cellStyle name="Normal 5 3 3 7 2 2 2" xfId="16644" xr:uid="{0159FC40-8731-4927-A8CF-750F3095E3E7}"/>
    <cellStyle name="Normal 5 3 3 7 2 3" xfId="12429" xr:uid="{193B942A-B55F-40A2-95FB-F1660BE8C322}"/>
    <cellStyle name="Normal 5 3 3 7 3" xfId="6052" xr:uid="{00000000-0005-0000-0000-00000D1A0000}"/>
    <cellStyle name="Normal 5 3 3 7 3 2" xfId="14499" xr:uid="{33FA5C60-0D42-4153-BD5C-6CC985B45E33}"/>
    <cellStyle name="Normal 5 3 3 7 4" xfId="10284" xr:uid="{B6FB44E4-BA89-4785-85D4-34C8C8D207E4}"/>
    <cellStyle name="Normal 5 3 3 8" xfId="2159" xr:uid="{00000000-0005-0000-0000-00000E1A0000}"/>
    <cellStyle name="Normal 5 3 3 8 2" xfId="4388" xr:uid="{00000000-0005-0000-0000-00000F1A0000}"/>
    <cellStyle name="Normal 5 3 3 8 2 2" xfId="8610" xr:uid="{00000000-0005-0000-0000-0000101A0000}"/>
    <cellStyle name="Normal 5 3 3 8 2 2 2" xfId="17057" xr:uid="{9FA16FD8-5FBB-400E-BD7E-55406B46779C}"/>
    <cellStyle name="Normal 5 3 3 8 2 3" xfId="12842" xr:uid="{BC77B1FD-F17F-4AB2-9E94-F69A6E37D95F}"/>
    <cellStyle name="Normal 5 3 3 8 3" xfId="6465" xr:uid="{00000000-0005-0000-0000-0000111A0000}"/>
    <cellStyle name="Normal 5 3 3 8 3 2" xfId="14912" xr:uid="{2406E41F-1599-4F1C-977A-1707570D5E59}"/>
    <cellStyle name="Normal 5 3 3 8 4" xfId="10697" xr:uid="{3FC77D60-98D7-4F4B-A882-FFD9C94307B1}"/>
    <cellStyle name="Normal 5 3 3 9" xfId="2595" xr:uid="{00000000-0005-0000-0000-0000121A0000}"/>
    <cellStyle name="Normal 5 3 3 9 2" xfId="6878" xr:uid="{00000000-0005-0000-0000-0000131A0000}"/>
    <cellStyle name="Normal 5 3 3 9 2 2" xfId="15325" xr:uid="{3478DAD5-6158-4247-9767-FEB7D20BEF52}"/>
    <cellStyle name="Normal 5 3 3 9 3" xfId="11110" xr:uid="{781FE0BE-E09C-4F1E-9890-86C4DCD29998}"/>
    <cellStyle name="Normal 5 3 4" xfId="449" xr:uid="{00000000-0005-0000-0000-0000141A0000}"/>
    <cellStyle name="Normal 5 3 4 10" xfId="9053" xr:uid="{9318B6DF-68AF-476F-AA98-E7455A2DB739}"/>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28" xr:uid="{6C64E199-8DDA-4FDF-8D72-997866A1FA99}"/>
    <cellStyle name="Normal 5 3 4 2 2 2 2 3" xfId="11613" xr:uid="{FA3468AD-B05D-4A21-89C0-AEB0873C690C}"/>
    <cellStyle name="Normal 5 3 4 2 2 2 3" xfId="5236" xr:uid="{00000000-0005-0000-0000-00001A1A0000}"/>
    <cellStyle name="Normal 5 3 4 2 2 2 3 2" xfId="13683" xr:uid="{D5A38751-5FD1-40B6-AF43-B44B53731A15}"/>
    <cellStyle name="Normal 5 3 4 2 2 2 4" xfId="9468" xr:uid="{BD4F72AF-D509-4F01-BF3B-F476CB203A56}"/>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1" xr:uid="{A773BF8C-D57B-4354-8D25-6A43248747E3}"/>
    <cellStyle name="Normal 5 3 4 2 2 3 2 3" xfId="12026" xr:uid="{A566C85B-07CA-474B-9B5D-04E2917BB113}"/>
    <cellStyle name="Normal 5 3 4 2 2 3 3" xfId="5649" xr:uid="{00000000-0005-0000-0000-00001E1A0000}"/>
    <cellStyle name="Normal 5 3 4 2 2 3 3 2" xfId="14096" xr:uid="{CFC60519-B42D-48C5-BCAB-D3B1A691E462}"/>
    <cellStyle name="Normal 5 3 4 2 2 3 4" xfId="9881" xr:uid="{C025ABD1-DE66-471B-8BA6-15F7E9186A47}"/>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4" xr:uid="{1C2200F2-5AF6-4F85-9144-9B52865AB5A1}"/>
    <cellStyle name="Normal 5 3 4 2 2 4 2 3" xfId="12439" xr:uid="{A7BE8A8C-968B-447A-B17C-9BD335A2425F}"/>
    <cellStyle name="Normal 5 3 4 2 2 4 3" xfId="6062" xr:uid="{00000000-0005-0000-0000-0000221A0000}"/>
    <cellStyle name="Normal 5 3 4 2 2 4 3 2" xfId="14509" xr:uid="{841C1C34-2741-46E9-9D24-31EDDCA1602A}"/>
    <cellStyle name="Normal 5 3 4 2 2 4 4" xfId="10294" xr:uid="{EBCD074A-B16C-45FD-BE9A-8A6FBA9F8F8A}"/>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67" xr:uid="{A6547157-27CB-4959-9EB0-0A1F132C9050}"/>
    <cellStyle name="Normal 5 3 4 2 2 5 2 3" xfId="12852" xr:uid="{7DB130BE-2671-449B-B6ED-5A85412E851C}"/>
    <cellStyle name="Normal 5 3 4 2 2 5 3" xfId="6475" xr:uid="{00000000-0005-0000-0000-0000261A0000}"/>
    <cellStyle name="Normal 5 3 4 2 2 5 3 2" xfId="14922" xr:uid="{BBC52039-E608-40BD-94B7-109987840532}"/>
    <cellStyle name="Normal 5 3 4 2 2 5 4" xfId="10707" xr:uid="{4B055365-DC37-4E15-858A-7E5B4C046877}"/>
    <cellStyle name="Normal 5 3 4 2 2 6" xfId="2605" xr:uid="{00000000-0005-0000-0000-0000271A0000}"/>
    <cellStyle name="Normal 5 3 4 2 2 6 2" xfId="6888" xr:uid="{00000000-0005-0000-0000-0000281A0000}"/>
    <cellStyle name="Normal 5 3 4 2 2 6 2 2" xfId="15335" xr:uid="{33E58AD7-F062-4EC3-8A52-B615A903AC9D}"/>
    <cellStyle name="Normal 5 3 4 2 2 6 3" xfId="11120" xr:uid="{B539B68E-CDB4-4594-9371-7EBC30BB4258}"/>
    <cellStyle name="Normal 5 3 4 2 2 7" xfId="4823" xr:uid="{00000000-0005-0000-0000-0000291A0000}"/>
    <cellStyle name="Normal 5 3 4 2 2 7 2" xfId="13270" xr:uid="{8EE87E7F-9F04-42DC-83A2-D60D70D4752C}"/>
    <cellStyle name="Normal 5 3 4 2 2 8" xfId="9055" xr:uid="{3FACF689-BF7D-4017-B00A-D8BB6DEBCE66}"/>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27" xr:uid="{09B259AC-4B4E-490E-9DFA-5063D0E3F100}"/>
    <cellStyle name="Normal 5 3 4 2 3 2 3" xfId="11612" xr:uid="{4A35C198-CF02-4F80-9434-7426D9480A2E}"/>
    <cellStyle name="Normal 5 3 4 2 3 3" xfId="5235" xr:uid="{00000000-0005-0000-0000-00002D1A0000}"/>
    <cellStyle name="Normal 5 3 4 2 3 3 2" xfId="13682" xr:uid="{212734DB-419F-48DD-AD73-C0104BE0D817}"/>
    <cellStyle name="Normal 5 3 4 2 3 4" xfId="9467" xr:uid="{2473F586-7868-4C51-81E7-FAD2CAB27B1F}"/>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0" xr:uid="{F36E78A9-A3AB-4F0B-A761-4903ADA981A2}"/>
    <cellStyle name="Normal 5 3 4 2 4 2 3" xfId="12025" xr:uid="{E8FE6278-59F2-4A8B-875D-F9507AFF1190}"/>
    <cellStyle name="Normal 5 3 4 2 4 3" xfId="5648" xr:uid="{00000000-0005-0000-0000-0000311A0000}"/>
    <cellStyle name="Normal 5 3 4 2 4 3 2" xfId="14095" xr:uid="{598C1BC2-6BAC-43BC-AB53-0FCDF6A2B667}"/>
    <cellStyle name="Normal 5 3 4 2 4 4" xfId="9880" xr:uid="{55B98767-251F-410E-8612-BD84EC9C8095}"/>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3" xr:uid="{22D85B63-CC2B-4C24-92CC-E254FFB7C0E6}"/>
    <cellStyle name="Normal 5 3 4 2 5 2 3" xfId="12438" xr:uid="{3D2AF229-5E54-4334-9A6F-AE660339E6A6}"/>
    <cellStyle name="Normal 5 3 4 2 5 3" xfId="6061" xr:uid="{00000000-0005-0000-0000-0000351A0000}"/>
    <cellStyle name="Normal 5 3 4 2 5 3 2" xfId="14508" xr:uid="{EF7EC56E-0F65-4009-A91B-F5B9B16DF334}"/>
    <cellStyle name="Normal 5 3 4 2 5 4" xfId="10293" xr:uid="{E8291540-9A19-4A41-8DAE-CD994A9A0338}"/>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6" xr:uid="{61F64DD0-44CD-46BE-B6DA-091CB7E1F6C0}"/>
    <cellStyle name="Normal 5 3 4 2 6 2 3" xfId="12851" xr:uid="{6AA057FC-750B-4C7E-BA73-3A246EA8E184}"/>
    <cellStyle name="Normal 5 3 4 2 6 3" xfId="6474" xr:uid="{00000000-0005-0000-0000-0000391A0000}"/>
    <cellStyle name="Normal 5 3 4 2 6 3 2" xfId="14921" xr:uid="{4C2979A9-505C-4A29-A962-A63FB92EAD08}"/>
    <cellStyle name="Normal 5 3 4 2 6 4" xfId="10706" xr:uid="{F171484A-66F0-4B04-AEB4-33C9DB802A55}"/>
    <cellStyle name="Normal 5 3 4 2 7" xfId="2604" xr:uid="{00000000-0005-0000-0000-00003A1A0000}"/>
    <cellStyle name="Normal 5 3 4 2 7 2" xfId="6887" xr:uid="{00000000-0005-0000-0000-00003B1A0000}"/>
    <cellStyle name="Normal 5 3 4 2 7 2 2" xfId="15334" xr:uid="{BA5A58FE-F2BF-4150-8DE0-C2A6E7D6E3CA}"/>
    <cellStyle name="Normal 5 3 4 2 7 3" xfId="11119" xr:uid="{65010318-160D-4037-8BA9-1831DDB2D556}"/>
    <cellStyle name="Normal 5 3 4 2 8" xfId="4822" xr:uid="{00000000-0005-0000-0000-00003C1A0000}"/>
    <cellStyle name="Normal 5 3 4 2 8 2" xfId="13269" xr:uid="{77B588D3-E741-41DA-B004-46E0F5F2DFCE}"/>
    <cellStyle name="Normal 5 3 4 2 9" xfId="9054" xr:uid="{9C86CCDA-951D-4CBD-A0D9-9A6E51D3DC9C}"/>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29" xr:uid="{7F6E6FE6-DF69-4CB0-8F1F-85F72A620252}"/>
    <cellStyle name="Normal 5 3 4 3 2 2 3" xfId="11614" xr:uid="{3E960295-D59A-49F1-BE96-109D3611280A}"/>
    <cellStyle name="Normal 5 3 4 3 2 3" xfId="5237" xr:uid="{00000000-0005-0000-0000-0000411A0000}"/>
    <cellStyle name="Normal 5 3 4 3 2 3 2" xfId="13684" xr:uid="{39068B73-98D3-4518-88F7-B883B9C95075}"/>
    <cellStyle name="Normal 5 3 4 3 2 4" xfId="9469" xr:uid="{726CFB0D-F78E-48E8-9AAD-E73AB76BED60}"/>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2" xr:uid="{0CB1ABBA-6CB1-4F3A-BB7C-702CDAE6E0EF}"/>
    <cellStyle name="Normal 5 3 4 3 3 2 3" xfId="12027" xr:uid="{8256E90D-446B-4A2F-B919-3C6866286559}"/>
    <cellStyle name="Normal 5 3 4 3 3 3" xfId="5650" xr:uid="{00000000-0005-0000-0000-0000451A0000}"/>
    <cellStyle name="Normal 5 3 4 3 3 3 2" xfId="14097" xr:uid="{FE7EF416-D504-4A8E-91A1-CD6CAD04D8BC}"/>
    <cellStyle name="Normal 5 3 4 3 3 4" xfId="9882" xr:uid="{2F5290BC-4DE3-4EEA-9484-174D28F46161}"/>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5" xr:uid="{6637C34D-27C9-4C00-965D-30C4C047A558}"/>
    <cellStyle name="Normal 5 3 4 3 4 2 3" xfId="12440" xr:uid="{F74CA838-4746-4FE5-9E3B-E0BA08306567}"/>
    <cellStyle name="Normal 5 3 4 3 4 3" xfId="6063" xr:uid="{00000000-0005-0000-0000-0000491A0000}"/>
    <cellStyle name="Normal 5 3 4 3 4 3 2" xfId="14510" xr:uid="{1453F323-1EA2-4FA0-BCB4-B1867CBF4352}"/>
    <cellStyle name="Normal 5 3 4 3 4 4" xfId="10295" xr:uid="{7245449E-0B8F-45D1-86B4-669243DB8670}"/>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68" xr:uid="{F157F324-7BD7-43C2-B6F9-6A48A3DBAACC}"/>
    <cellStyle name="Normal 5 3 4 3 5 2 3" xfId="12853" xr:uid="{01DAA3D4-CD3D-45DF-81AA-88BC830A5DD3}"/>
    <cellStyle name="Normal 5 3 4 3 5 3" xfId="6476" xr:uid="{00000000-0005-0000-0000-00004D1A0000}"/>
    <cellStyle name="Normal 5 3 4 3 5 3 2" xfId="14923" xr:uid="{DAE7A012-A613-4F0E-8921-A853C71BD83C}"/>
    <cellStyle name="Normal 5 3 4 3 5 4" xfId="10708" xr:uid="{98A5A590-6AE5-43F8-9AEE-98DD6156CD1D}"/>
    <cellStyle name="Normal 5 3 4 3 6" xfId="2606" xr:uid="{00000000-0005-0000-0000-00004E1A0000}"/>
    <cellStyle name="Normal 5 3 4 3 6 2" xfId="6889" xr:uid="{00000000-0005-0000-0000-00004F1A0000}"/>
    <cellStyle name="Normal 5 3 4 3 6 2 2" xfId="15336" xr:uid="{2715881C-48F4-44E4-BB18-DEA3900860B7}"/>
    <cellStyle name="Normal 5 3 4 3 6 3" xfId="11121" xr:uid="{59AE72F4-DE58-4368-84DB-3A8E14706C88}"/>
    <cellStyle name="Normal 5 3 4 3 7" xfId="4824" xr:uid="{00000000-0005-0000-0000-0000501A0000}"/>
    <cellStyle name="Normal 5 3 4 3 7 2" xfId="13271" xr:uid="{11D9305D-A8B1-4FFB-80E0-65C1EA9545AE}"/>
    <cellStyle name="Normal 5 3 4 3 8" xfId="9056" xr:uid="{A1F2ABEF-97CF-4A8F-B5E0-ACE6619FD0B2}"/>
    <cellStyle name="Normal 5 3 4 4" xfId="923" xr:uid="{00000000-0005-0000-0000-0000511A0000}"/>
    <cellStyle name="Normal 5 3 4 4 2" xfId="3157" xr:uid="{00000000-0005-0000-0000-0000521A0000}"/>
    <cellStyle name="Normal 5 3 4 4 2 2" xfId="7379" xr:uid="{00000000-0005-0000-0000-0000531A0000}"/>
    <cellStyle name="Normal 5 3 4 4 2 2 2" xfId="15826" xr:uid="{F6CB44D3-D7A3-406D-9B98-0B2FFB649B04}"/>
    <cellStyle name="Normal 5 3 4 4 2 3" xfId="11611" xr:uid="{0FA7229D-7268-473B-A999-801BB2816230}"/>
    <cellStyle name="Normal 5 3 4 4 3" xfId="5234" xr:uid="{00000000-0005-0000-0000-0000541A0000}"/>
    <cellStyle name="Normal 5 3 4 4 3 2" xfId="13681" xr:uid="{D20E8D67-AE15-4130-AAEE-C35BA926C01B}"/>
    <cellStyle name="Normal 5 3 4 4 4" xfId="9466" xr:uid="{A24EF2EE-3D39-4A51-8C2A-4A18558248B0}"/>
    <cellStyle name="Normal 5 3 4 5" xfId="1340" xr:uid="{00000000-0005-0000-0000-0000551A0000}"/>
    <cellStyle name="Normal 5 3 4 5 2" xfId="3570" xr:uid="{00000000-0005-0000-0000-0000561A0000}"/>
    <cellStyle name="Normal 5 3 4 5 2 2" xfId="7792" xr:uid="{00000000-0005-0000-0000-0000571A0000}"/>
    <cellStyle name="Normal 5 3 4 5 2 2 2" xfId="16239" xr:uid="{4D488EDB-0E00-40E6-AAFF-689ADC4DF1E6}"/>
    <cellStyle name="Normal 5 3 4 5 2 3" xfId="12024" xr:uid="{EAEB6C34-2FDC-4B00-9AF7-CBA52634BA95}"/>
    <cellStyle name="Normal 5 3 4 5 3" xfId="5647" xr:uid="{00000000-0005-0000-0000-0000581A0000}"/>
    <cellStyle name="Normal 5 3 4 5 3 2" xfId="14094" xr:uid="{5D3C9422-126E-4247-A6F7-6ADEC98C3137}"/>
    <cellStyle name="Normal 5 3 4 5 4" xfId="9879" xr:uid="{D83EE068-058D-460E-B41D-A91C6105FE3E}"/>
    <cellStyle name="Normal 5 3 4 6" xfId="1753" xr:uid="{00000000-0005-0000-0000-0000591A0000}"/>
    <cellStyle name="Normal 5 3 4 6 2" xfId="3983" xr:uid="{00000000-0005-0000-0000-00005A1A0000}"/>
    <cellStyle name="Normal 5 3 4 6 2 2" xfId="8205" xr:uid="{00000000-0005-0000-0000-00005B1A0000}"/>
    <cellStyle name="Normal 5 3 4 6 2 2 2" xfId="16652" xr:uid="{BF95F379-747E-4831-A919-4AD039490195}"/>
    <cellStyle name="Normal 5 3 4 6 2 3" xfId="12437" xr:uid="{A0B2FB34-F389-4B2C-A492-B18262984235}"/>
    <cellStyle name="Normal 5 3 4 6 3" xfId="6060" xr:uid="{00000000-0005-0000-0000-00005C1A0000}"/>
    <cellStyle name="Normal 5 3 4 6 3 2" xfId="14507" xr:uid="{2979BE01-52C4-49C9-B696-380EC37B8EE2}"/>
    <cellStyle name="Normal 5 3 4 6 4" xfId="10292" xr:uid="{9394BD1E-E1D9-47AA-B726-4B227D861CF4}"/>
    <cellStyle name="Normal 5 3 4 7" xfId="2167" xr:uid="{00000000-0005-0000-0000-00005D1A0000}"/>
    <cellStyle name="Normal 5 3 4 7 2" xfId="4396" xr:uid="{00000000-0005-0000-0000-00005E1A0000}"/>
    <cellStyle name="Normal 5 3 4 7 2 2" xfId="8618" xr:uid="{00000000-0005-0000-0000-00005F1A0000}"/>
    <cellStyle name="Normal 5 3 4 7 2 2 2" xfId="17065" xr:uid="{BF50EC8C-E6EA-43C9-85FA-BC1EDA48DA33}"/>
    <cellStyle name="Normal 5 3 4 7 2 3" xfId="12850" xr:uid="{582C86FF-EA35-4A2F-B82C-724E2E101C0A}"/>
    <cellStyle name="Normal 5 3 4 7 3" xfId="6473" xr:uid="{00000000-0005-0000-0000-0000601A0000}"/>
    <cellStyle name="Normal 5 3 4 7 3 2" xfId="14920" xr:uid="{B86E82B9-4E31-4DCF-AC23-7AC88868E794}"/>
    <cellStyle name="Normal 5 3 4 7 4" xfId="10705" xr:uid="{3AC4E5F0-0D04-4227-83AC-0A107B50C9D4}"/>
    <cellStyle name="Normal 5 3 4 8" xfId="2603" xr:uid="{00000000-0005-0000-0000-0000611A0000}"/>
    <cellStyle name="Normal 5 3 4 8 2" xfId="6886" xr:uid="{00000000-0005-0000-0000-0000621A0000}"/>
    <cellStyle name="Normal 5 3 4 8 2 2" xfId="15333" xr:uid="{7153C285-E6D6-4F8B-8831-E39B28FC16C2}"/>
    <cellStyle name="Normal 5 3 4 8 3" xfId="11118" xr:uid="{6B93DC8D-D8B5-4C7E-9DF8-E15349DCF113}"/>
    <cellStyle name="Normal 5 3 4 9" xfId="4821" xr:uid="{00000000-0005-0000-0000-0000631A0000}"/>
    <cellStyle name="Normal 5 3 4 9 2" xfId="13268" xr:uid="{39945ECF-A5CC-4BC5-AFF5-BAC4BE3769CC}"/>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1" xr:uid="{B8D1A1BF-E397-4659-AC84-FB21532EAFA3}"/>
    <cellStyle name="Normal 5 3 5 2 2 2 3" xfId="11616" xr:uid="{A0C4726E-A666-4E06-BA1F-5E8A10751FAE}"/>
    <cellStyle name="Normal 5 3 5 2 2 3" xfId="5239" xr:uid="{00000000-0005-0000-0000-0000691A0000}"/>
    <cellStyle name="Normal 5 3 5 2 2 3 2" xfId="13686" xr:uid="{347AB59A-6BA8-429D-A4F6-E62E16BD85AA}"/>
    <cellStyle name="Normal 5 3 5 2 2 4" xfId="9471" xr:uid="{B40E0DAB-016A-495F-8DB0-5315F72FA779}"/>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4" xr:uid="{C3096CA8-B98F-4372-B2AB-07C0149FCF05}"/>
    <cellStyle name="Normal 5 3 5 2 3 2 3" xfId="12029" xr:uid="{88DF4D13-7ECB-4715-9E5E-4DFCB718E3AE}"/>
    <cellStyle name="Normal 5 3 5 2 3 3" xfId="5652" xr:uid="{00000000-0005-0000-0000-00006D1A0000}"/>
    <cellStyle name="Normal 5 3 5 2 3 3 2" xfId="14099" xr:uid="{9F3A48FC-F646-41C5-A4E7-901303115331}"/>
    <cellStyle name="Normal 5 3 5 2 3 4" xfId="9884" xr:uid="{57DD74D5-DABA-4278-8874-F091B651E89C}"/>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57" xr:uid="{2B0A7395-A9FE-429C-84DF-08F2355273B6}"/>
    <cellStyle name="Normal 5 3 5 2 4 2 3" xfId="12442" xr:uid="{88910ACA-64D2-47D0-A0A4-86B81C68CE10}"/>
    <cellStyle name="Normal 5 3 5 2 4 3" xfId="6065" xr:uid="{00000000-0005-0000-0000-0000711A0000}"/>
    <cellStyle name="Normal 5 3 5 2 4 3 2" xfId="14512" xr:uid="{8CE496A7-33B2-4FAF-B399-3415D4D800EA}"/>
    <cellStyle name="Normal 5 3 5 2 4 4" xfId="10297" xr:uid="{42A82E57-1A53-4900-9010-95895C572987}"/>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0" xr:uid="{E4985474-E211-4CC1-B10D-69D53F5FD599}"/>
    <cellStyle name="Normal 5 3 5 2 5 2 3" xfId="12855" xr:uid="{B76BF290-98D3-43AA-904B-6A4E05D6D886}"/>
    <cellStyle name="Normal 5 3 5 2 5 3" xfId="6478" xr:uid="{00000000-0005-0000-0000-0000751A0000}"/>
    <cellStyle name="Normal 5 3 5 2 5 3 2" xfId="14925" xr:uid="{D1256809-6C02-470E-979C-E66D8611E1C0}"/>
    <cellStyle name="Normal 5 3 5 2 5 4" xfId="10710" xr:uid="{50B194E3-30DE-4608-BBCF-21D871953E7E}"/>
    <cellStyle name="Normal 5 3 5 2 6" xfId="2608" xr:uid="{00000000-0005-0000-0000-0000761A0000}"/>
    <cellStyle name="Normal 5 3 5 2 6 2" xfId="6891" xr:uid="{00000000-0005-0000-0000-0000771A0000}"/>
    <cellStyle name="Normal 5 3 5 2 6 2 2" xfId="15338" xr:uid="{A5206AE0-43BF-4317-A157-A80DF51B4032}"/>
    <cellStyle name="Normal 5 3 5 2 6 3" xfId="11123" xr:uid="{D36E70D5-BD9F-4223-8B43-79B8ED15C34F}"/>
    <cellStyle name="Normal 5 3 5 2 7" xfId="4826" xr:uid="{00000000-0005-0000-0000-0000781A0000}"/>
    <cellStyle name="Normal 5 3 5 2 7 2" xfId="13273" xr:uid="{D1204EA1-8203-4227-A8B1-9E0F601600A4}"/>
    <cellStyle name="Normal 5 3 5 2 8" xfId="9058" xr:uid="{44C3797D-6AFE-4A13-BA28-FD8708DBB3DD}"/>
    <cellStyle name="Normal 5 3 5 3" xfId="927" xr:uid="{00000000-0005-0000-0000-0000791A0000}"/>
    <cellStyle name="Normal 5 3 5 3 2" xfId="3161" xr:uid="{00000000-0005-0000-0000-00007A1A0000}"/>
    <cellStyle name="Normal 5 3 5 3 2 2" xfId="7383" xr:uid="{00000000-0005-0000-0000-00007B1A0000}"/>
    <cellStyle name="Normal 5 3 5 3 2 2 2" xfId="15830" xr:uid="{B69FAE11-0ED5-4698-8FDC-B5E5C8C9BBAD}"/>
    <cellStyle name="Normal 5 3 5 3 2 3" xfId="11615" xr:uid="{AAB0136C-6F07-471F-8E7E-049E18DACA49}"/>
    <cellStyle name="Normal 5 3 5 3 3" xfId="5238" xr:uid="{00000000-0005-0000-0000-00007C1A0000}"/>
    <cellStyle name="Normal 5 3 5 3 3 2" xfId="13685" xr:uid="{392EEFB9-1D15-4C51-9197-9E25ABCDAB62}"/>
    <cellStyle name="Normal 5 3 5 3 4" xfId="9470" xr:uid="{C7C4340D-4C8A-45E0-B96C-D1B58BA3134B}"/>
    <cellStyle name="Normal 5 3 5 4" xfId="1344" xr:uid="{00000000-0005-0000-0000-00007D1A0000}"/>
    <cellStyle name="Normal 5 3 5 4 2" xfId="3574" xr:uid="{00000000-0005-0000-0000-00007E1A0000}"/>
    <cellStyle name="Normal 5 3 5 4 2 2" xfId="7796" xr:uid="{00000000-0005-0000-0000-00007F1A0000}"/>
    <cellStyle name="Normal 5 3 5 4 2 2 2" xfId="16243" xr:uid="{F53C2491-D62C-4173-B925-2A17EC26B5EC}"/>
    <cellStyle name="Normal 5 3 5 4 2 3" xfId="12028" xr:uid="{E2E786A0-6073-4A88-ABB1-E56B4A1299D4}"/>
    <cellStyle name="Normal 5 3 5 4 3" xfId="5651" xr:uid="{00000000-0005-0000-0000-0000801A0000}"/>
    <cellStyle name="Normal 5 3 5 4 3 2" xfId="14098" xr:uid="{E58DE440-CEFD-48F1-9C90-61CF550B57B6}"/>
    <cellStyle name="Normal 5 3 5 4 4" xfId="9883" xr:uid="{94731344-8F2D-4C5B-BF99-161C314A462E}"/>
    <cellStyle name="Normal 5 3 5 5" xfId="1757" xr:uid="{00000000-0005-0000-0000-0000811A0000}"/>
    <cellStyle name="Normal 5 3 5 5 2" xfId="3987" xr:uid="{00000000-0005-0000-0000-0000821A0000}"/>
    <cellStyle name="Normal 5 3 5 5 2 2" xfId="8209" xr:uid="{00000000-0005-0000-0000-0000831A0000}"/>
    <cellStyle name="Normal 5 3 5 5 2 2 2" xfId="16656" xr:uid="{567BA5F3-E0AC-436F-AD6C-B424DE4C840C}"/>
    <cellStyle name="Normal 5 3 5 5 2 3" xfId="12441" xr:uid="{9F0A1F7D-C9FD-4D68-9FB9-A0C0271ACD24}"/>
    <cellStyle name="Normal 5 3 5 5 3" xfId="6064" xr:uid="{00000000-0005-0000-0000-0000841A0000}"/>
    <cellStyle name="Normal 5 3 5 5 3 2" xfId="14511" xr:uid="{35B3A9A8-E5E0-49E9-BD9B-02C33F45F366}"/>
    <cellStyle name="Normal 5 3 5 5 4" xfId="10296" xr:uid="{37830477-5649-49B5-A6D0-B0B8A93ADF63}"/>
    <cellStyle name="Normal 5 3 5 6" xfId="2171" xr:uid="{00000000-0005-0000-0000-0000851A0000}"/>
    <cellStyle name="Normal 5 3 5 6 2" xfId="4400" xr:uid="{00000000-0005-0000-0000-0000861A0000}"/>
    <cellStyle name="Normal 5 3 5 6 2 2" xfId="8622" xr:uid="{00000000-0005-0000-0000-0000871A0000}"/>
    <cellStyle name="Normal 5 3 5 6 2 2 2" xfId="17069" xr:uid="{CFC82B8F-569C-47E1-9519-7DAA57153F87}"/>
    <cellStyle name="Normal 5 3 5 6 2 3" xfId="12854" xr:uid="{8A4E7AAE-833E-443B-8261-522C3C224B1F}"/>
    <cellStyle name="Normal 5 3 5 6 3" xfId="6477" xr:uid="{00000000-0005-0000-0000-0000881A0000}"/>
    <cellStyle name="Normal 5 3 5 6 3 2" xfId="14924" xr:uid="{BDA0E0F3-0280-4B4C-BDB6-2F3B1E28669B}"/>
    <cellStyle name="Normal 5 3 5 6 4" xfId="10709" xr:uid="{01403D69-C966-44BA-8D84-24950B16B37D}"/>
    <cellStyle name="Normal 5 3 5 7" xfId="2607" xr:uid="{00000000-0005-0000-0000-0000891A0000}"/>
    <cellStyle name="Normal 5 3 5 7 2" xfId="6890" xr:uid="{00000000-0005-0000-0000-00008A1A0000}"/>
    <cellStyle name="Normal 5 3 5 7 2 2" xfId="15337" xr:uid="{41C311DA-13C3-47ED-A324-4074D12C79F0}"/>
    <cellStyle name="Normal 5 3 5 7 3" xfId="11122" xr:uid="{19C24F35-AEB5-4AFA-B12F-2B1261B4A10B}"/>
    <cellStyle name="Normal 5 3 5 8" xfId="4825" xr:uid="{00000000-0005-0000-0000-00008B1A0000}"/>
    <cellStyle name="Normal 5 3 5 8 2" xfId="13272" xr:uid="{78318CEC-9830-4A8E-A6D9-31729D6A4EC3}"/>
    <cellStyle name="Normal 5 3 5 9" xfId="9057" xr:uid="{1BBE050E-6BEE-435D-84B4-F4BD222C393A}"/>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2" xr:uid="{BCDC92E4-9C01-474F-87D6-D19CA2D43678}"/>
    <cellStyle name="Normal 5 3 6 2 2 3" xfId="11617" xr:uid="{C2629D6E-44FD-413D-BFDD-3BD32AFB743A}"/>
    <cellStyle name="Normal 5 3 6 2 3" xfId="5240" xr:uid="{00000000-0005-0000-0000-0000901A0000}"/>
    <cellStyle name="Normal 5 3 6 2 3 2" xfId="13687" xr:uid="{5BDB751D-4F09-4749-8875-8FD6D395A513}"/>
    <cellStyle name="Normal 5 3 6 2 4" xfId="9472" xr:uid="{74FF8F15-C6F5-484E-8753-92EFB1503D6A}"/>
    <cellStyle name="Normal 5 3 6 3" xfId="1346" xr:uid="{00000000-0005-0000-0000-0000911A0000}"/>
    <cellStyle name="Normal 5 3 6 3 2" xfId="3576" xr:uid="{00000000-0005-0000-0000-0000921A0000}"/>
    <cellStyle name="Normal 5 3 6 3 2 2" xfId="7798" xr:uid="{00000000-0005-0000-0000-0000931A0000}"/>
    <cellStyle name="Normal 5 3 6 3 2 2 2" xfId="16245" xr:uid="{6CED6E33-58B1-411C-B2F4-4FE42707C566}"/>
    <cellStyle name="Normal 5 3 6 3 2 3" xfId="12030" xr:uid="{3ADA05F6-0F02-41BC-AC81-A601BCA4F6F4}"/>
    <cellStyle name="Normal 5 3 6 3 3" xfId="5653" xr:uid="{00000000-0005-0000-0000-0000941A0000}"/>
    <cellStyle name="Normal 5 3 6 3 3 2" xfId="14100" xr:uid="{319C8467-6085-4C7E-AFEC-740AD5A9A9A3}"/>
    <cellStyle name="Normal 5 3 6 3 4" xfId="9885" xr:uid="{F12729E4-0814-4073-B67A-D7DEFFFBEAD3}"/>
    <cellStyle name="Normal 5 3 6 4" xfId="1759" xr:uid="{00000000-0005-0000-0000-0000951A0000}"/>
    <cellStyle name="Normal 5 3 6 4 2" xfId="3989" xr:uid="{00000000-0005-0000-0000-0000961A0000}"/>
    <cellStyle name="Normal 5 3 6 4 2 2" xfId="8211" xr:uid="{00000000-0005-0000-0000-0000971A0000}"/>
    <cellStyle name="Normal 5 3 6 4 2 2 2" xfId="16658" xr:uid="{ACB9D0A7-C17F-46DA-ABDC-4493070303D6}"/>
    <cellStyle name="Normal 5 3 6 4 2 3" xfId="12443" xr:uid="{CF19EBF6-BB39-4FF1-8E55-D47C32F22A6A}"/>
    <cellStyle name="Normal 5 3 6 4 3" xfId="6066" xr:uid="{00000000-0005-0000-0000-0000981A0000}"/>
    <cellStyle name="Normal 5 3 6 4 3 2" xfId="14513" xr:uid="{2CC25E6D-0276-473F-9158-3C4A4FF5555B}"/>
    <cellStyle name="Normal 5 3 6 4 4" xfId="10298" xr:uid="{9BEAD6F7-4990-4159-9903-D55F9C49A69F}"/>
    <cellStyle name="Normal 5 3 6 5" xfId="2173" xr:uid="{00000000-0005-0000-0000-0000991A0000}"/>
    <cellStyle name="Normal 5 3 6 5 2" xfId="4402" xr:uid="{00000000-0005-0000-0000-00009A1A0000}"/>
    <cellStyle name="Normal 5 3 6 5 2 2" xfId="8624" xr:uid="{00000000-0005-0000-0000-00009B1A0000}"/>
    <cellStyle name="Normal 5 3 6 5 2 2 2" xfId="17071" xr:uid="{18F39B2B-5C26-4417-89F7-FEEBCF8E6023}"/>
    <cellStyle name="Normal 5 3 6 5 2 3" xfId="12856" xr:uid="{1B53C8F0-FB17-479C-A2BD-0543551F03E2}"/>
    <cellStyle name="Normal 5 3 6 5 3" xfId="6479" xr:uid="{00000000-0005-0000-0000-00009C1A0000}"/>
    <cellStyle name="Normal 5 3 6 5 3 2" xfId="14926" xr:uid="{F891E1CE-0A85-4B39-A076-038DAF8D5F38}"/>
    <cellStyle name="Normal 5 3 6 5 4" xfId="10711" xr:uid="{2288D0D9-0F88-48D4-91B2-CC91B0167E49}"/>
    <cellStyle name="Normal 5 3 6 6" xfId="2609" xr:uid="{00000000-0005-0000-0000-00009D1A0000}"/>
    <cellStyle name="Normal 5 3 6 6 2" xfId="6892" xr:uid="{00000000-0005-0000-0000-00009E1A0000}"/>
    <cellStyle name="Normal 5 3 6 6 2 2" xfId="15339" xr:uid="{6D8B118E-5455-4DBE-87F2-78FCFC832F3A}"/>
    <cellStyle name="Normal 5 3 6 6 3" xfId="11124" xr:uid="{C8068E64-68ED-4DBC-910F-D122424DF39E}"/>
    <cellStyle name="Normal 5 3 6 7" xfId="4827" xr:uid="{00000000-0005-0000-0000-00009F1A0000}"/>
    <cellStyle name="Normal 5 3 6 7 2" xfId="13274" xr:uid="{010C0D32-E979-4502-9863-03BA7B82C5B1}"/>
    <cellStyle name="Normal 5 3 6 8" xfId="9059" xr:uid="{216FDDD5-C9D5-498C-8AF5-343FF9FFED2F}"/>
    <cellStyle name="Normal 5 3 7" xfId="913" xr:uid="{00000000-0005-0000-0000-0000A01A0000}"/>
    <cellStyle name="Normal 5 3 7 2" xfId="3148" xr:uid="{00000000-0005-0000-0000-0000A11A0000}"/>
    <cellStyle name="Normal 5 3 7 2 2" xfId="7370" xr:uid="{00000000-0005-0000-0000-0000A21A0000}"/>
    <cellStyle name="Normal 5 3 7 2 2 2" xfId="15817" xr:uid="{A2AA0029-B7DB-4AC2-894D-0F0225EBFCA1}"/>
    <cellStyle name="Normal 5 3 7 2 3" xfId="11602" xr:uid="{74852EA5-2A43-44B2-8334-FF2D23803120}"/>
    <cellStyle name="Normal 5 3 7 3" xfId="5225" xr:uid="{00000000-0005-0000-0000-0000A31A0000}"/>
    <cellStyle name="Normal 5 3 7 3 2" xfId="13672" xr:uid="{4154052F-9DD0-489F-93FF-7C9D284DCF57}"/>
    <cellStyle name="Normal 5 3 7 4" xfId="9457" xr:uid="{C9156B20-2AB5-48D6-94EA-34C8CE051401}"/>
    <cellStyle name="Normal 5 3 8" xfId="1331" xr:uid="{00000000-0005-0000-0000-0000A41A0000}"/>
    <cellStyle name="Normal 5 3 8 2" xfId="3561" xr:uid="{00000000-0005-0000-0000-0000A51A0000}"/>
    <cellStyle name="Normal 5 3 8 2 2" xfId="7783" xr:uid="{00000000-0005-0000-0000-0000A61A0000}"/>
    <cellStyle name="Normal 5 3 8 2 2 2" xfId="16230" xr:uid="{CEB91364-7751-4202-97C8-7B6010D88BCB}"/>
    <cellStyle name="Normal 5 3 8 2 3" xfId="12015" xr:uid="{8C52262A-8734-489C-9D4B-9D785B4C4DAC}"/>
    <cellStyle name="Normal 5 3 8 3" xfId="5638" xr:uid="{00000000-0005-0000-0000-0000A71A0000}"/>
    <cellStyle name="Normal 5 3 8 3 2" xfId="14085" xr:uid="{056C3B9F-07DE-4648-A3E1-F2ED4BCF3CCD}"/>
    <cellStyle name="Normal 5 3 8 4" xfId="9870" xr:uid="{F2B71B17-57B8-46CD-BB06-46C8B482F80F}"/>
    <cellStyle name="Normal 5 3 9" xfId="1744" xr:uid="{00000000-0005-0000-0000-0000A81A0000}"/>
    <cellStyle name="Normal 5 3 9 2" xfId="3974" xr:uid="{00000000-0005-0000-0000-0000A91A0000}"/>
    <cellStyle name="Normal 5 3 9 2 2" xfId="8196" xr:uid="{00000000-0005-0000-0000-0000AA1A0000}"/>
    <cellStyle name="Normal 5 3 9 2 2 2" xfId="16643" xr:uid="{8CE3D6BC-D73C-430A-8DC9-12BDD87BDA5B}"/>
    <cellStyle name="Normal 5 3 9 2 3" xfId="12428" xr:uid="{CECC5845-00F9-4264-B888-BDCD5BA31848}"/>
    <cellStyle name="Normal 5 3 9 3" xfId="6051" xr:uid="{00000000-0005-0000-0000-0000AB1A0000}"/>
    <cellStyle name="Normal 5 3 9 3 2" xfId="14498" xr:uid="{4AB3C26E-F850-41EC-89FC-CA06AD83E594}"/>
    <cellStyle name="Normal 5 3 9 4" xfId="10283" xr:uid="{FFC86269-EB28-4B64-A74F-96113292BF2A}"/>
    <cellStyle name="Normal 5 4" xfId="456" xr:uid="{00000000-0005-0000-0000-0000AC1A0000}"/>
    <cellStyle name="Normal 5 4 10" xfId="4828" xr:uid="{00000000-0005-0000-0000-0000AD1A0000}"/>
    <cellStyle name="Normal 5 4 10 2" xfId="13275" xr:uid="{08BAA568-46A3-40CB-A0C8-3536B627A1F9}"/>
    <cellStyle name="Normal 5 4 11" xfId="9060" xr:uid="{A33D9F6F-9D98-44B2-BF51-DCF4B2D890BD}"/>
    <cellStyle name="Normal 5 4 2" xfId="457" xr:uid="{00000000-0005-0000-0000-0000AE1A0000}"/>
    <cellStyle name="Normal 5 4 2 10" xfId="9061" xr:uid="{3EB7FD27-8EEB-4B4B-8C32-961979FE59F9}"/>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6" xr:uid="{3FA185FD-8025-4F90-B88F-4DBE1F95021A}"/>
    <cellStyle name="Normal 5 4 2 2 2 2 2 3" xfId="11621" xr:uid="{C7A1B931-C1DA-4656-92D8-11C9B03B3301}"/>
    <cellStyle name="Normal 5 4 2 2 2 2 3" xfId="5244" xr:uid="{00000000-0005-0000-0000-0000B41A0000}"/>
    <cellStyle name="Normal 5 4 2 2 2 2 3 2" xfId="13691" xr:uid="{EC7A3D84-B80A-43B4-A37C-7950E5D64549}"/>
    <cellStyle name="Normal 5 4 2 2 2 2 4" xfId="9476" xr:uid="{01569464-31DA-4753-A5C7-58D18533E7F5}"/>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49" xr:uid="{E4663889-28C9-4FF9-B6E5-D78596D7C5EC}"/>
    <cellStyle name="Normal 5 4 2 2 2 3 2 3" xfId="12034" xr:uid="{717E74A8-C4EE-4338-96EF-048AAC160502}"/>
    <cellStyle name="Normal 5 4 2 2 2 3 3" xfId="5657" xr:uid="{00000000-0005-0000-0000-0000B81A0000}"/>
    <cellStyle name="Normal 5 4 2 2 2 3 3 2" xfId="14104" xr:uid="{73C22541-1D2B-4572-8BE4-955F0A252F70}"/>
    <cellStyle name="Normal 5 4 2 2 2 3 4" xfId="9889" xr:uid="{19D0CDD8-B0E1-48C8-B20C-B5BE1D495108}"/>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2" xr:uid="{9C1EE902-9C44-494D-8812-F3A312A974DA}"/>
    <cellStyle name="Normal 5 4 2 2 2 4 2 3" xfId="12447" xr:uid="{8098B717-57AA-40A6-9507-F10B5554DEC4}"/>
    <cellStyle name="Normal 5 4 2 2 2 4 3" xfId="6070" xr:uid="{00000000-0005-0000-0000-0000BC1A0000}"/>
    <cellStyle name="Normal 5 4 2 2 2 4 3 2" xfId="14517" xr:uid="{9259889E-CC54-44C0-9D2D-EE548ECC8EA3}"/>
    <cellStyle name="Normal 5 4 2 2 2 4 4" xfId="10302" xr:uid="{B0A7A791-BD4D-438F-8A2D-D63B63A5C3C3}"/>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5" xr:uid="{AF5531A7-A888-460F-869C-1956348835A6}"/>
    <cellStyle name="Normal 5 4 2 2 2 5 2 3" xfId="12860" xr:uid="{4AD3CA19-5D4B-4FB9-A025-2ED836CAC892}"/>
    <cellStyle name="Normal 5 4 2 2 2 5 3" xfId="6483" xr:uid="{00000000-0005-0000-0000-0000C01A0000}"/>
    <cellStyle name="Normal 5 4 2 2 2 5 3 2" xfId="14930" xr:uid="{DD8F9C73-36C7-42C8-9075-A6CAA98269D7}"/>
    <cellStyle name="Normal 5 4 2 2 2 5 4" xfId="10715" xr:uid="{4438CCDB-4DC8-473D-B767-B6014CD879F5}"/>
    <cellStyle name="Normal 5 4 2 2 2 6" xfId="2613" xr:uid="{00000000-0005-0000-0000-0000C11A0000}"/>
    <cellStyle name="Normal 5 4 2 2 2 6 2" xfId="6896" xr:uid="{00000000-0005-0000-0000-0000C21A0000}"/>
    <cellStyle name="Normal 5 4 2 2 2 6 2 2" xfId="15343" xr:uid="{1515D96D-389F-4C2D-9350-FC928A9DE58B}"/>
    <cellStyle name="Normal 5 4 2 2 2 6 3" xfId="11128" xr:uid="{156AD3E5-2D27-44B4-A0AF-5938BC915230}"/>
    <cellStyle name="Normal 5 4 2 2 2 7" xfId="4831" xr:uid="{00000000-0005-0000-0000-0000C31A0000}"/>
    <cellStyle name="Normal 5 4 2 2 2 7 2" xfId="13278" xr:uid="{925EC0A9-E587-4EC9-B1C6-B89812CBC8E7}"/>
    <cellStyle name="Normal 5 4 2 2 2 8" xfId="9063" xr:uid="{3DE1255F-C8A1-47D7-B905-F36B2FBE9B27}"/>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5" xr:uid="{287A1DB3-22ED-436D-A7B9-7E044F2CC956}"/>
    <cellStyle name="Normal 5 4 2 2 3 2 3" xfId="11620" xr:uid="{0DE059B7-671F-4D78-805B-66D76B29F004}"/>
    <cellStyle name="Normal 5 4 2 2 3 3" xfId="5243" xr:uid="{00000000-0005-0000-0000-0000C71A0000}"/>
    <cellStyle name="Normal 5 4 2 2 3 3 2" xfId="13690" xr:uid="{C97E5528-30B6-4A6F-A3FB-5D0D66F733FD}"/>
    <cellStyle name="Normal 5 4 2 2 3 4" xfId="9475" xr:uid="{AB59C381-3AA7-4244-94B0-320002246449}"/>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48" xr:uid="{00DAAAD9-75BC-4DD0-8E02-06A661BD581F}"/>
    <cellStyle name="Normal 5 4 2 2 4 2 3" xfId="12033" xr:uid="{3EBB335F-37E7-4162-8D5F-B53CC97FCCE4}"/>
    <cellStyle name="Normal 5 4 2 2 4 3" xfId="5656" xr:uid="{00000000-0005-0000-0000-0000CB1A0000}"/>
    <cellStyle name="Normal 5 4 2 2 4 3 2" xfId="14103" xr:uid="{D72602B7-DF3C-4D11-BA27-71FECB826DCE}"/>
    <cellStyle name="Normal 5 4 2 2 4 4" xfId="9888" xr:uid="{1ECA198B-4EDC-4789-AB28-0FE95EA15F9B}"/>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1" xr:uid="{07599BE0-AE85-4587-AF34-DD3C49E1F0B9}"/>
    <cellStyle name="Normal 5 4 2 2 5 2 3" xfId="12446" xr:uid="{3A536247-9BCA-4470-A88B-0B18E3959D4A}"/>
    <cellStyle name="Normal 5 4 2 2 5 3" xfId="6069" xr:uid="{00000000-0005-0000-0000-0000CF1A0000}"/>
    <cellStyle name="Normal 5 4 2 2 5 3 2" xfId="14516" xr:uid="{AA614D3A-A920-49A1-9311-66FF53149310}"/>
    <cellStyle name="Normal 5 4 2 2 5 4" xfId="10301" xr:uid="{B8C5684A-68E6-4484-9450-92815E04EA38}"/>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4" xr:uid="{6B899993-823A-427F-A841-5C5F19969AAB}"/>
    <cellStyle name="Normal 5 4 2 2 6 2 3" xfId="12859" xr:uid="{A6D6FC3C-1246-4544-ABEE-2EB30B322D12}"/>
    <cellStyle name="Normal 5 4 2 2 6 3" xfId="6482" xr:uid="{00000000-0005-0000-0000-0000D31A0000}"/>
    <cellStyle name="Normal 5 4 2 2 6 3 2" xfId="14929" xr:uid="{E192EF84-20C6-4CF8-A66F-3E95436713F6}"/>
    <cellStyle name="Normal 5 4 2 2 6 4" xfId="10714" xr:uid="{2764327D-96D3-48CB-90B2-200D6D83CDFA}"/>
    <cellStyle name="Normal 5 4 2 2 7" xfId="2612" xr:uid="{00000000-0005-0000-0000-0000D41A0000}"/>
    <cellStyle name="Normal 5 4 2 2 7 2" xfId="6895" xr:uid="{00000000-0005-0000-0000-0000D51A0000}"/>
    <cellStyle name="Normal 5 4 2 2 7 2 2" xfId="15342" xr:uid="{5AE3A3DD-748C-4077-9C08-87FBEF01EF8A}"/>
    <cellStyle name="Normal 5 4 2 2 7 3" xfId="11127" xr:uid="{A01810BB-8DF4-4CFA-BE26-02B319A008D5}"/>
    <cellStyle name="Normal 5 4 2 2 8" xfId="4830" xr:uid="{00000000-0005-0000-0000-0000D61A0000}"/>
    <cellStyle name="Normal 5 4 2 2 8 2" xfId="13277" xr:uid="{DE82B885-FF9A-42C1-849D-F0062E199A3B}"/>
    <cellStyle name="Normal 5 4 2 2 9" xfId="9062" xr:uid="{D5BD822B-6764-4190-837A-855AD463882A}"/>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37" xr:uid="{352DD910-AB8E-46B5-82FB-956C0978AA1E}"/>
    <cellStyle name="Normal 5 4 2 3 2 2 3" xfId="11622" xr:uid="{79A70CA4-B1A0-482C-AEF1-9BA49C612369}"/>
    <cellStyle name="Normal 5 4 2 3 2 3" xfId="5245" xr:uid="{00000000-0005-0000-0000-0000DB1A0000}"/>
    <cellStyle name="Normal 5 4 2 3 2 3 2" xfId="13692" xr:uid="{8DFF8BDB-4CD2-4753-82C2-B22B8AA6D48E}"/>
    <cellStyle name="Normal 5 4 2 3 2 4" xfId="9477" xr:uid="{1A8A0B83-9F74-4F58-84DA-3BB128B637FA}"/>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0" xr:uid="{1FE8BFE6-961A-4C88-A614-01FD259C70AA}"/>
    <cellStyle name="Normal 5 4 2 3 3 2 3" xfId="12035" xr:uid="{286A6E53-5F08-427B-B636-A9F117F9A25E}"/>
    <cellStyle name="Normal 5 4 2 3 3 3" xfId="5658" xr:uid="{00000000-0005-0000-0000-0000DF1A0000}"/>
    <cellStyle name="Normal 5 4 2 3 3 3 2" xfId="14105" xr:uid="{7B455478-0AD8-42E0-B810-4F16D78766ED}"/>
    <cellStyle name="Normal 5 4 2 3 3 4" xfId="9890" xr:uid="{9F7C35A9-2FC7-469F-BDBB-01D0C5EBCA82}"/>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3" xr:uid="{BF789CDC-5327-41A5-A9AD-0F8403E797F4}"/>
    <cellStyle name="Normal 5 4 2 3 4 2 3" xfId="12448" xr:uid="{89EE917F-1EF3-4904-9D0D-1165E5497143}"/>
    <cellStyle name="Normal 5 4 2 3 4 3" xfId="6071" xr:uid="{00000000-0005-0000-0000-0000E31A0000}"/>
    <cellStyle name="Normal 5 4 2 3 4 3 2" xfId="14518" xr:uid="{32851D82-77A1-4C0D-93CF-9F7FA69713C2}"/>
    <cellStyle name="Normal 5 4 2 3 4 4" xfId="10303" xr:uid="{50ED0296-6E60-4F51-AA49-F625BEC1F1EA}"/>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6" xr:uid="{64B5F1C2-C283-40C5-BDFE-A538BEB1575A}"/>
    <cellStyle name="Normal 5 4 2 3 5 2 3" xfId="12861" xr:uid="{9A8F23D1-F64A-4B1A-9858-ECF1492247ED}"/>
    <cellStyle name="Normal 5 4 2 3 5 3" xfId="6484" xr:uid="{00000000-0005-0000-0000-0000E71A0000}"/>
    <cellStyle name="Normal 5 4 2 3 5 3 2" xfId="14931" xr:uid="{2B00E6A7-7576-4F69-BE8C-20C3CFB82864}"/>
    <cellStyle name="Normal 5 4 2 3 5 4" xfId="10716" xr:uid="{2F98CE9A-D16A-4717-A227-9BC93EFF22E5}"/>
    <cellStyle name="Normal 5 4 2 3 6" xfId="2614" xr:uid="{00000000-0005-0000-0000-0000E81A0000}"/>
    <cellStyle name="Normal 5 4 2 3 6 2" xfId="6897" xr:uid="{00000000-0005-0000-0000-0000E91A0000}"/>
    <cellStyle name="Normal 5 4 2 3 6 2 2" xfId="15344" xr:uid="{F215D594-9EF2-45ED-B5EF-7713F9E5E505}"/>
    <cellStyle name="Normal 5 4 2 3 6 3" xfId="11129" xr:uid="{DDCBE746-7FA4-4F44-B72D-685AB1C23683}"/>
    <cellStyle name="Normal 5 4 2 3 7" xfId="4832" xr:uid="{00000000-0005-0000-0000-0000EA1A0000}"/>
    <cellStyle name="Normal 5 4 2 3 7 2" xfId="13279" xr:uid="{BAF95930-BAA1-4730-86D2-4BFEE285722D}"/>
    <cellStyle name="Normal 5 4 2 3 8" xfId="9064" xr:uid="{2B030130-F86E-4104-9EB3-3BBA59D36D3E}"/>
    <cellStyle name="Normal 5 4 2 4" xfId="931" xr:uid="{00000000-0005-0000-0000-0000EB1A0000}"/>
    <cellStyle name="Normal 5 4 2 4 2" xfId="3165" xr:uid="{00000000-0005-0000-0000-0000EC1A0000}"/>
    <cellStyle name="Normal 5 4 2 4 2 2" xfId="7387" xr:uid="{00000000-0005-0000-0000-0000ED1A0000}"/>
    <cellStyle name="Normal 5 4 2 4 2 2 2" xfId="15834" xr:uid="{B23635C2-B5CF-42DD-B2A5-F7B4D7AE5570}"/>
    <cellStyle name="Normal 5 4 2 4 2 3" xfId="11619" xr:uid="{09EC9B28-18D8-4321-9C6D-6FDE7C879AFA}"/>
    <cellStyle name="Normal 5 4 2 4 3" xfId="5242" xr:uid="{00000000-0005-0000-0000-0000EE1A0000}"/>
    <cellStyle name="Normal 5 4 2 4 3 2" xfId="13689" xr:uid="{B449D928-B29C-4F7E-8310-AFCEC07389B1}"/>
    <cellStyle name="Normal 5 4 2 4 4" xfId="9474" xr:uid="{DD166620-A436-4FC0-A1A6-3ABD0B168E6B}"/>
    <cellStyle name="Normal 5 4 2 5" xfId="1348" xr:uid="{00000000-0005-0000-0000-0000EF1A0000}"/>
    <cellStyle name="Normal 5 4 2 5 2" xfId="3578" xr:uid="{00000000-0005-0000-0000-0000F01A0000}"/>
    <cellStyle name="Normal 5 4 2 5 2 2" xfId="7800" xr:uid="{00000000-0005-0000-0000-0000F11A0000}"/>
    <cellStyle name="Normal 5 4 2 5 2 2 2" xfId="16247" xr:uid="{C033EFE7-3489-4619-AD9C-80931E775D69}"/>
    <cellStyle name="Normal 5 4 2 5 2 3" xfId="12032" xr:uid="{A1913558-57E5-46A3-8157-32680FF41287}"/>
    <cellStyle name="Normal 5 4 2 5 3" xfId="5655" xr:uid="{00000000-0005-0000-0000-0000F21A0000}"/>
    <cellStyle name="Normal 5 4 2 5 3 2" xfId="14102" xr:uid="{0DC913F5-9DB8-4165-932F-9C3C15060955}"/>
    <cellStyle name="Normal 5 4 2 5 4" xfId="9887" xr:uid="{650AC44A-F0E6-4A1F-B34F-1C5C03EB1E0E}"/>
    <cellStyle name="Normal 5 4 2 6" xfId="1761" xr:uid="{00000000-0005-0000-0000-0000F31A0000}"/>
    <cellStyle name="Normal 5 4 2 6 2" xfId="3991" xr:uid="{00000000-0005-0000-0000-0000F41A0000}"/>
    <cellStyle name="Normal 5 4 2 6 2 2" xfId="8213" xr:uid="{00000000-0005-0000-0000-0000F51A0000}"/>
    <cellStyle name="Normal 5 4 2 6 2 2 2" xfId="16660" xr:uid="{23E1D919-FF34-4075-BBD5-28433B36EFA9}"/>
    <cellStyle name="Normal 5 4 2 6 2 3" xfId="12445" xr:uid="{259B2620-5A18-4F1C-82C8-C32A0091FD9B}"/>
    <cellStyle name="Normal 5 4 2 6 3" xfId="6068" xr:uid="{00000000-0005-0000-0000-0000F61A0000}"/>
    <cellStyle name="Normal 5 4 2 6 3 2" xfId="14515" xr:uid="{2240F2AD-D4D6-452C-8804-D8610D517852}"/>
    <cellStyle name="Normal 5 4 2 6 4" xfId="10300" xr:uid="{14D9FC4F-7574-46F1-868B-1B17750D3E70}"/>
    <cellStyle name="Normal 5 4 2 7" xfId="2175" xr:uid="{00000000-0005-0000-0000-0000F71A0000}"/>
    <cellStyle name="Normal 5 4 2 7 2" xfId="4404" xr:uid="{00000000-0005-0000-0000-0000F81A0000}"/>
    <cellStyle name="Normal 5 4 2 7 2 2" xfId="8626" xr:uid="{00000000-0005-0000-0000-0000F91A0000}"/>
    <cellStyle name="Normal 5 4 2 7 2 2 2" xfId="17073" xr:uid="{EA51BD18-57FA-4A17-8DBD-0BAA797B8D54}"/>
    <cellStyle name="Normal 5 4 2 7 2 3" xfId="12858" xr:uid="{931F4F71-3F8A-4BF4-A56B-4492AC14DB3E}"/>
    <cellStyle name="Normal 5 4 2 7 3" xfId="6481" xr:uid="{00000000-0005-0000-0000-0000FA1A0000}"/>
    <cellStyle name="Normal 5 4 2 7 3 2" xfId="14928" xr:uid="{727A2C99-5190-4693-96F0-2B55BBCC683A}"/>
    <cellStyle name="Normal 5 4 2 7 4" xfId="10713" xr:uid="{D68676DE-29F5-4EB5-AF88-4D10317C9DEA}"/>
    <cellStyle name="Normal 5 4 2 8" xfId="2611" xr:uid="{00000000-0005-0000-0000-0000FB1A0000}"/>
    <cellStyle name="Normal 5 4 2 8 2" xfId="6894" xr:uid="{00000000-0005-0000-0000-0000FC1A0000}"/>
    <cellStyle name="Normal 5 4 2 8 2 2" xfId="15341" xr:uid="{43B32340-F4F9-4AB9-A75A-A4256C1D3AE2}"/>
    <cellStyle name="Normal 5 4 2 8 3" xfId="11126" xr:uid="{1B3C9F20-82C4-478B-B810-22FBC5E8C3EE}"/>
    <cellStyle name="Normal 5 4 2 9" xfId="4829" xr:uid="{00000000-0005-0000-0000-0000FD1A0000}"/>
    <cellStyle name="Normal 5 4 2 9 2" xfId="13276" xr:uid="{3356DC2E-8482-49C4-AFE7-4769432980FF}"/>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39" xr:uid="{BF0FF087-B30C-4254-9BEA-6F719BB6AAA8}"/>
    <cellStyle name="Normal 5 4 3 2 2 2 3" xfId="11624" xr:uid="{B10359F2-10FD-4A9B-B97C-CC2BCC273087}"/>
    <cellStyle name="Normal 5 4 3 2 2 3" xfId="5247" xr:uid="{00000000-0005-0000-0000-0000031B0000}"/>
    <cellStyle name="Normal 5 4 3 2 2 3 2" xfId="13694" xr:uid="{6B0824FE-9B26-45F5-8884-90BFBC243006}"/>
    <cellStyle name="Normal 5 4 3 2 2 4" xfId="9479" xr:uid="{EE803EB9-FF1E-4436-950D-581787A2A2A4}"/>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2" xr:uid="{D57BA6EB-0B51-4248-8C3F-E77BD38D4630}"/>
    <cellStyle name="Normal 5 4 3 2 3 2 3" xfId="12037" xr:uid="{3EFBB44A-DC6C-4A3F-AAB8-64C8B1BAB031}"/>
    <cellStyle name="Normal 5 4 3 2 3 3" xfId="5660" xr:uid="{00000000-0005-0000-0000-0000071B0000}"/>
    <cellStyle name="Normal 5 4 3 2 3 3 2" xfId="14107" xr:uid="{BBC0F874-330F-4C45-B9C4-C91A5B7E2386}"/>
    <cellStyle name="Normal 5 4 3 2 3 4" xfId="9892" xr:uid="{3A8CAEB3-125A-46AD-8A56-20A72B7AC894}"/>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5" xr:uid="{4FDB6B38-B9F0-4F82-B34B-E11709DAA09E}"/>
    <cellStyle name="Normal 5 4 3 2 4 2 3" xfId="12450" xr:uid="{0499CC6D-C4A5-4414-B457-9BC74F197F1B}"/>
    <cellStyle name="Normal 5 4 3 2 4 3" xfId="6073" xr:uid="{00000000-0005-0000-0000-00000B1B0000}"/>
    <cellStyle name="Normal 5 4 3 2 4 3 2" xfId="14520" xr:uid="{40BF2D4F-CD8F-4A72-A7E9-685BDB626CE6}"/>
    <cellStyle name="Normal 5 4 3 2 4 4" xfId="10305" xr:uid="{D4F47813-309C-477D-8D81-A85C7F94B23B}"/>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78" xr:uid="{44F47A93-BEBC-4EEF-8348-6894F123C61D}"/>
    <cellStyle name="Normal 5 4 3 2 5 2 3" xfId="12863" xr:uid="{A3FA5D2E-38DB-492D-8E03-EB21BB7D9C70}"/>
    <cellStyle name="Normal 5 4 3 2 5 3" xfId="6486" xr:uid="{00000000-0005-0000-0000-00000F1B0000}"/>
    <cellStyle name="Normal 5 4 3 2 5 3 2" xfId="14933" xr:uid="{64676B89-D121-4C00-8A0F-065CEAE60838}"/>
    <cellStyle name="Normal 5 4 3 2 5 4" xfId="10718" xr:uid="{8A6B3E6B-EF3A-48CE-90A3-358B68665A04}"/>
    <cellStyle name="Normal 5 4 3 2 6" xfId="2616" xr:uid="{00000000-0005-0000-0000-0000101B0000}"/>
    <cellStyle name="Normal 5 4 3 2 6 2" xfId="6899" xr:uid="{00000000-0005-0000-0000-0000111B0000}"/>
    <cellStyle name="Normal 5 4 3 2 6 2 2" xfId="15346" xr:uid="{18937755-807A-4569-BD21-4B48196C260E}"/>
    <cellStyle name="Normal 5 4 3 2 6 3" xfId="11131" xr:uid="{4C10349E-AE22-4B6A-980A-25933342CB21}"/>
    <cellStyle name="Normal 5 4 3 2 7" xfId="4834" xr:uid="{00000000-0005-0000-0000-0000121B0000}"/>
    <cellStyle name="Normal 5 4 3 2 7 2" xfId="13281" xr:uid="{DA33CCA3-4A16-425C-BDAC-217E2E7DA373}"/>
    <cellStyle name="Normal 5 4 3 2 8" xfId="9066" xr:uid="{207955E2-864F-48FC-8600-EC23859082A9}"/>
    <cellStyle name="Normal 5 4 3 3" xfId="935" xr:uid="{00000000-0005-0000-0000-0000131B0000}"/>
    <cellStyle name="Normal 5 4 3 3 2" xfId="3169" xr:uid="{00000000-0005-0000-0000-0000141B0000}"/>
    <cellStyle name="Normal 5 4 3 3 2 2" xfId="7391" xr:uid="{00000000-0005-0000-0000-0000151B0000}"/>
    <cellStyle name="Normal 5 4 3 3 2 2 2" xfId="15838" xr:uid="{CE7AA0AD-ABC6-477F-A2B7-5D5745BDF992}"/>
    <cellStyle name="Normal 5 4 3 3 2 3" xfId="11623" xr:uid="{3E4F6070-EDD7-46EB-94AB-BF8D7860515F}"/>
    <cellStyle name="Normal 5 4 3 3 3" xfId="5246" xr:uid="{00000000-0005-0000-0000-0000161B0000}"/>
    <cellStyle name="Normal 5 4 3 3 3 2" xfId="13693" xr:uid="{A6DC5ADE-6A1E-4AAD-9B4E-8812587643D9}"/>
    <cellStyle name="Normal 5 4 3 3 4" xfId="9478" xr:uid="{C74E5274-185C-4150-A864-A781211C3CCC}"/>
    <cellStyle name="Normal 5 4 3 4" xfId="1352" xr:uid="{00000000-0005-0000-0000-0000171B0000}"/>
    <cellStyle name="Normal 5 4 3 4 2" xfId="3582" xr:uid="{00000000-0005-0000-0000-0000181B0000}"/>
    <cellStyle name="Normal 5 4 3 4 2 2" xfId="7804" xr:uid="{00000000-0005-0000-0000-0000191B0000}"/>
    <cellStyle name="Normal 5 4 3 4 2 2 2" xfId="16251" xr:uid="{9BAAF31B-7BE1-498C-9FF8-FA7D6032394B}"/>
    <cellStyle name="Normal 5 4 3 4 2 3" xfId="12036" xr:uid="{7B7A42BE-3904-4303-822A-8544C197C9A3}"/>
    <cellStyle name="Normal 5 4 3 4 3" xfId="5659" xr:uid="{00000000-0005-0000-0000-00001A1B0000}"/>
    <cellStyle name="Normal 5 4 3 4 3 2" xfId="14106" xr:uid="{0FED2342-1A88-412A-9E87-21D75FBB911A}"/>
    <cellStyle name="Normal 5 4 3 4 4" xfId="9891" xr:uid="{370283E4-F966-4870-9B68-F6A536D11C83}"/>
    <cellStyle name="Normal 5 4 3 5" xfId="1765" xr:uid="{00000000-0005-0000-0000-00001B1B0000}"/>
    <cellStyle name="Normal 5 4 3 5 2" xfId="3995" xr:uid="{00000000-0005-0000-0000-00001C1B0000}"/>
    <cellStyle name="Normal 5 4 3 5 2 2" xfId="8217" xr:uid="{00000000-0005-0000-0000-00001D1B0000}"/>
    <cellStyle name="Normal 5 4 3 5 2 2 2" xfId="16664" xr:uid="{4D81CB84-BBE4-4C74-882C-6FE3553C1024}"/>
    <cellStyle name="Normal 5 4 3 5 2 3" xfId="12449" xr:uid="{7C686CA4-9411-4E49-A180-965AC31875DF}"/>
    <cellStyle name="Normal 5 4 3 5 3" xfId="6072" xr:uid="{00000000-0005-0000-0000-00001E1B0000}"/>
    <cellStyle name="Normal 5 4 3 5 3 2" xfId="14519" xr:uid="{5B227D2A-5A24-473A-ABA4-FAC5E79951F0}"/>
    <cellStyle name="Normal 5 4 3 5 4" xfId="10304" xr:uid="{76F9FD48-BE44-4DEC-B42D-6F3379580AD5}"/>
    <cellStyle name="Normal 5 4 3 6" xfId="2179" xr:uid="{00000000-0005-0000-0000-00001F1B0000}"/>
    <cellStyle name="Normal 5 4 3 6 2" xfId="4408" xr:uid="{00000000-0005-0000-0000-0000201B0000}"/>
    <cellStyle name="Normal 5 4 3 6 2 2" xfId="8630" xr:uid="{00000000-0005-0000-0000-0000211B0000}"/>
    <cellStyle name="Normal 5 4 3 6 2 2 2" xfId="17077" xr:uid="{E9E66CE0-8D77-47EF-86E2-48E02687E5BD}"/>
    <cellStyle name="Normal 5 4 3 6 2 3" xfId="12862" xr:uid="{F0F0FD8F-66D2-40E5-8C3B-B7C86D0755B8}"/>
    <cellStyle name="Normal 5 4 3 6 3" xfId="6485" xr:uid="{00000000-0005-0000-0000-0000221B0000}"/>
    <cellStyle name="Normal 5 4 3 6 3 2" xfId="14932" xr:uid="{748DD6E7-C187-43F5-8067-94FCF26BA817}"/>
    <cellStyle name="Normal 5 4 3 6 4" xfId="10717" xr:uid="{C56D0379-6B82-40FA-9C0D-5B8C5614F577}"/>
    <cellStyle name="Normal 5 4 3 7" xfId="2615" xr:uid="{00000000-0005-0000-0000-0000231B0000}"/>
    <cellStyle name="Normal 5 4 3 7 2" xfId="6898" xr:uid="{00000000-0005-0000-0000-0000241B0000}"/>
    <cellStyle name="Normal 5 4 3 7 2 2" xfId="15345" xr:uid="{486C02E5-0D52-4E3F-8627-3DB7BB6B84ED}"/>
    <cellStyle name="Normal 5 4 3 7 3" xfId="11130" xr:uid="{9B9D51D6-98B3-4396-B6CC-BBC95A00D8EF}"/>
    <cellStyle name="Normal 5 4 3 8" xfId="4833" xr:uid="{00000000-0005-0000-0000-0000251B0000}"/>
    <cellStyle name="Normal 5 4 3 8 2" xfId="13280" xr:uid="{9C71FBA3-379D-4C8A-9BC1-45731467A030}"/>
    <cellStyle name="Normal 5 4 3 9" xfId="9065" xr:uid="{2A77CAAB-2143-4115-9316-13C59CF233EE}"/>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0" xr:uid="{56943454-CDBF-4CE4-B401-66BA0186AFD7}"/>
    <cellStyle name="Normal 5 4 4 2 2 3" xfId="11625" xr:uid="{C6D5F5AA-F140-4E15-A40B-8345B4362315}"/>
    <cellStyle name="Normal 5 4 4 2 3" xfId="5248" xr:uid="{00000000-0005-0000-0000-00002A1B0000}"/>
    <cellStyle name="Normal 5 4 4 2 3 2" xfId="13695" xr:uid="{07F4465D-EF76-4A1E-85AB-A17927F655F2}"/>
    <cellStyle name="Normal 5 4 4 2 4" xfId="9480" xr:uid="{FC57655E-AB71-4B9F-9596-B983DE7D4C48}"/>
    <cellStyle name="Normal 5 4 4 3" xfId="1354" xr:uid="{00000000-0005-0000-0000-00002B1B0000}"/>
    <cellStyle name="Normal 5 4 4 3 2" xfId="3584" xr:uid="{00000000-0005-0000-0000-00002C1B0000}"/>
    <cellStyle name="Normal 5 4 4 3 2 2" xfId="7806" xr:uid="{00000000-0005-0000-0000-00002D1B0000}"/>
    <cellStyle name="Normal 5 4 4 3 2 2 2" xfId="16253" xr:uid="{E2D7A0BA-39A8-44E0-A153-97F709103234}"/>
    <cellStyle name="Normal 5 4 4 3 2 3" xfId="12038" xr:uid="{4D9236BC-1936-42BD-A119-0AB71EDD3D3A}"/>
    <cellStyle name="Normal 5 4 4 3 3" xfId="5661" xr:uid="{00000000-0005-0000-0000-00002E1B0000}"/>
    <cellStyle name="Normal 5 4 4 3 3 2" xfId="14108" xr:uid="{2D4CD58F-C483-42B7-990A-75489788B8CE}"/>
    <cellStyle name="Normal 5 4 4 3 4" xfId="9893" xr:uid="{F6EEF035-C036-49DC-9483-C3BB36990226}"/>
    <cellStyle name="Normal 5 4 4 4" xfId="1767" xr:uid="{00000000-0005-0000-0000-00002F1B0000}"/>
    <cellStyle name="Normal 5 4 4 4 2" xfId="3997" xr:uid="{00000000-0005-0000-0000-0000301B0000}"/>
    <cellStyle name="Normal 5 4 4 4 2 2" xfId="8219" xr:uid="{00000000-0005-0000-0000-0000311B0000}"/>
    <cellStyle name="Normal 5 4 4 4 2 2 2" xfId="16666" xr:uid="{BF497502-5A91-40F8-878D-5ED96050EAA9}"/>
    <cellStyle name="Normal 5 4 4 4 2 3" xfId="12451" xr:uid="{02C54007-5BE9-448A-AD80-1437BD0D6B27}"/>
    <cellStyle name="Normal 5 4 4 4 3" xfId="6074" xr:uid="{00000000-0005-0000-0000-0000321B0000}"/>
    <cellStyle name="Normal 5 4 4 4 3 2" xfId="14521" xr:uid="{D65E69EB-394B-453F-A268-A36A706C6895}"/>
    <cellStyle name="Normal 5 4 4 4 4" xfId="10306" xr:uid="{679E8A00-BA6E-445D-AF85-549A0998D4BE}"/>
    <cellStyle name="Normal 5 4 4 5" xfId="2181" xr:uid="{00000000-0005-0000-0000-0000331B0000}"/>
    <cellStyle name="Normal 5 4 4 5 2" xfId="4410" xr:uid="{00000000-0005-0000-0000-0000341B0000}"/>
    <cellStyle name="Normal 5 4 4 5 2 2" xfId="8632" xr:uid="{00000000-0005-0000-0000-0000351B0000}"/>
    <cellStyle name="Normal 5 4 4 5 2 2 2" xfId="17079" xr:uid="{026E35D2-7256-4E63-9E8A-BB3C5EEC21C4}"/>
    <cellStyle name="Normal 5 4 4 5 2 3" xfId="12864" xr:uid="{BC8DBC66-2B63-40AF-86AB-338D538CEFD6}"/>
    <cellStyle name="Normal 5 4 4 5 3" xfId="6487" xr:uid="{00000000-0005-0000-0000-0000361B0000}"/>
    <cellStyle name="Normal 5 4 4 5 3 2" xfId="14934" xr:uid="{792E7AB8-C801-42E0-8361-BA0513DFCEDD}"/>
    <cellStyle name="Normal 5 4 4 5 4" xfId="10719" xr:uid="{93D29933-0D4B-464D-A532-66E7AB5DAF55}"/>
    <cellStyle name="Normal 5 4 4 6" xfId="2617" xr:uid="{00000000-0005-0000-0000-0000371B0000}"/>
    <cellStyle name="Normal 5 4 4 6 2" xfId="6900" xr:uid="{00000000-0005-0000-0000-0000381B0000}"/>
    <cellStyle name="Normal 5 4 4 6 2 2" xfId="15347" xr:uid="{32D7EE75-72FE-4B1F-963A-8C8629DFD8CD}"/>
    <cellStyle name="Normal 5 4 4 6 3" xfId="11132" xr:uid="{37FD81F8-1F95-4406-B3ED-EDCD42AF4A9C}"/>
    <cellStyle name="Normal 5 4 4 7" xfId="4835" xr:uid="{00000000-0005-0000-0000-0000391B0000}"/>
    <cellStyle name="Normal 5 4 4 7 2" xfId="13282" xr:uid="{3FE4DFC7-EB8C-4A38-935A-84F65041D91A}"/>
    <cellStyle name="Normal 5 4 4 8" xfId="9067" xr:uid="{89A69CFB-B5BD-49B3-ADB6-5543C6BCC5C4}"/>
    <cellStyle name="Normal 5 4 5" xfId="930" xr:uid="{00000000-0005-0000-0000-00003A1B0000}"/>
    <cellStyle name="Normal 5 4 5 2" xfId="3164" xr:uid="{00000000-0005-0000-0000-00003B1B0000}"/>
    <cellStyle name="Normal 5 4 5 2 2" xfId="7386" xr:uid="{00000000-0005-0000-0000-00003C1B0000}"/>
    <cellStyle name="Normal 5 4 5 2 2 2" xfId="15833" xr:uid="{FE062281-EB51-4145-A837-3A2DEB37B036}"/>
    <cellStyle name="Normal 5 4 5 2 3" xfId="11618" xr:uid="{A9B468E6-64B9-4053-B0C8-D1707F913B31}"/>
    <cellStyle name="Normal 5 4 5 3" xfId="5241" xr:uid="{00000000-0005-0000-0000-00003D1B0000}"/>
    <cellStyle name="Normal 5 4 5 3 2" xfId="13688" xr:uid="{A4567312-F01B-4832-805C-6CB2983FC574}"/>
    <cellStyle name="Normal 5 4 5 4" xfId="9473" xr:uid="{3E850256-E1A2-4D1C-84C0-01B7B65CB697}"/>
    <cellStyle name="Normal 5 4 6" xfId="1347" xr:uid="{00000000-0005-0000-0000-00003E1B0000}"/>
    <cellStyle name="Normal 5 4 6 2" xfId="3577" xr:uid="{00000000-0005-0000-0000-00003F1B0000}"/>
    <cellStyle name="Normal 5 4 6 2 2" xfId="7799" xr:uid="{00000000-0005-0000-0000-0000401B0000}"/>
    <cellStyle name="Normal 5 4 6 2 2 2" xfId="16246" xr:uid="{5391784B-6B1A-4C2B-8E52-A1D26919D203}"/>
    <cellStyle name="Normal 5 4 6 2 3" xfId="12031" xr:uid="{35FE205E-FE52-466E-8A72-0CB236555EB5}"/>
    <cellStyle name="Normal 5 4 6 3" xfId="5654" xr:uid="{00000000-0005-0000-0000-0000411B0000}"/>
    <cellStyle name="Normal 5 4 6 3 2" xfId="14101" xr:uid="{A862643F-B7E1-4CD5-A8A3-6B4B9FE60D41}"/>
    <cellStyle name="Normal 5 4 6 4" xfId="9886" xr:uid="{AE550EBD-6C21-4FAD-A28E-D63F055D8883}"/>
    <cellStyle name="Normal 5 4 7" xfId="1760" xr:uid="{00000000-0005-0000-0000-0000421B0000}"/>
    <cellStyle name="Normal 5 4 7 2" xfId="3990" xr:uid="{00000000-0005-0000-0000-0000431B0000}"/>
    <cellStyle name="Normal 5 4 7 2 2" xfId="8212" xr:uid="{00000000-0005-0000-0000-0000441B0000}"/>
    <cellStyle name="Normal 5 4 7 2 2 2" xfId="16659" xr:uid="{448C4B06-C164-458D-854E-34350C2CB0DE}"/>
    <cellStyle name="Normal 5 4 7 2 3" xfId="12444" xr:uid="{8952B803-4C24-4169-B2A1-6D03B97253FB}"/>
    <cellStyle name="Normal 5 4 7 3" xfId="6067" xr:uid="{00000000-0005-0000-0000-0000451B0000}"/>
    <cellStyle name="Normal 5 4 7 3 2" xfId="14514" xr:uid="{CC940F2A-1B5A-49A7-83E2-2E195D1405EE}"/>
    <cellStyle name="Normal 5 4 7 4" xfId="10299" xr:uid="{4B1208C8-CD2F-4546-AC6C-5E34D65BB923}"/>
    <cellStyle name="Normal 5 4 8" xfId="2174" xr:uid="{00000000-0005-0000-0000-0000461B0000}"/>
    <cellStyle name="Normal 5 4 8 2" xfId="4403" xr:uid="{00000000-0005-0000-0000-0000471B0000}"/>
    <cellStyle name="Normal 5 4 8 2 2" xfId="8625" xr:uid="{00000000-0005-0000-0000-0000481B0000}"/>
    <cellStyle name="Normal 5 4 8 2 2 2" xfId="17072" xr:uid="{632AE3C4-701D-47C8-AACD-10CCB0C80EA3}"/>
    <cellStyle name="Normal 5 4 8 2 3" xfId="12857" xr:uid="{8BD56FF7-9BA0-4A6A-973E-0F509AA69B24}"/>
    <cellStyle name="Normal 5 4 8 3" xfId="6480" xr:uid="{00000000-0005-0000-0000-0000491B0000}"/>
    <cellStyle name="Normal 5 4 8 3 2" xfId="14927" xr:uid="{E49C5649-0482-4273-9DF5-D03260C30821}"/>
    <cellStyle name="Normal 5 4 8 4" xfId="10712" xr:uid="{35068766-A532-4821-B3A8-4FCDB8C094CA}"/>
    <cellStyle name="Normal 5 4 9" xfId="2610" xr:uid="{00000000-0005-0000-0000-00004A1B0000}"/>
    <cellStyle name="Normal 5 4 9 2" xfId="6893" xr:uid="{00000000-0005-0000-0000-00004B1B0000}"/>
    <cellStyle name="Normal 5 4 9 2 2" xfId="15340" xr:uid="{A73497DE-1221-43B9-8903-83ADCA83899A}"/>
    <cellStyle name="Normal 5 4 9 3" xfId="11125" xr:uid="{5CA0D717-6059-484B-A384-82BFE118D125}"/>
    <cellStyle name="Normal 5 5" xfId="464" xr:uid="{00000000-0005-0000-0000-00004C1B0000}"/>
    <cellStyle name="Normal 5 5 10" xfId="9068" xr:uid="{8A1F6307-EA22-4352-97CD-24A8BBD45867}"/>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3" xr:uid="{579A7FC6-A4E2-45F8-8699-E93A12D884B4}"/>
    <cellStyle name="Normal 5 5 2 2 2 2 3" xfId="11628" xr:uid="{DE083739-A51C-40FC-B7A4-9546FFE09CFD}"/>
    <cellStyle name="Normal 5 5 2 2 2 3" xfId="5251" xr:uid="{00000000-0005-0000-0000-0000521B0000}"/>
    <cellStyle name="Normal 5 5 2 2 2 3 2" xfId="13698" xr:uid="{545B0FFA-56D4-4E56-A60A-C957A7B32407}"/>
    <cellStyle name="Normal 5 5 2 2 2 4" xfId="9483" xr:uid="{808F2284-FE5E-4ADF-8B0C-B5CB00301136}"/>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6" xr:uid="{2EDC840F-92E3-4CDC-9EE6-46A7C40FB74A}"/>
    <cellStyle name="Normal 5 5 2 2 3 2 3" xfId="12041" xr:uid="{26DFFDE7-F8F9-452D-9843-3B07CE999967}"/>
    <cellStyle name="Normal 5 5 2 2 3 3" xfId="5664" xr:uid="{00000000-0005-0000-0000-0000561B0000}"/>
    <cellStyle name="Normal 5 5 2 2 3 3 2" xfId="14111" xr:uid="{5573A7F1-A091-480A-95DA-6E50CA51F0B5}"/>
    <cellStyle name="Normal 5 5 2 2 3 4" xfId="9896" xr:uid="{26FEC04C-C057-4976-BCE0-92D053DD417A}"/>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69" xr:uid="{06F0A6DF-2C83-4F44-BC2D-E245C34BFE11}"/>
    <cellStyle name="Normal 5 5 2 2 4 2 3" xfId="12454" xr:uid="{39E74AE5-8925-4218-8166-41B0FFEAADB0}"/>
    <cellStyle name="Normal 5 5 2 2 4 3" xfId="6077" xr:uid="{00000000-0005-0000-0000-00005A1B0000}"/>
    <cellStyle name="Normal 5 5 2 2 4 3 2" xfId="14524" xr:uid="{A1C6275F-6A09-42CC-B95E-4381088D0779}"/>
    <cellStyle name="Normal 5 5 2 2 4 4" xfId="10309" xr:uid="{6DA5651B-F79B-478F-AF18-12CFE86C6173}"/>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2" xr:uid="{DACAA138-1B13-49E0-8696-A7925142611C}"/>
    <cellStyle name="Normal 5 5 2 2 5 2 3" xfId="12867" xr:uid="{ABD2E1AC-F9ED-4E98-BBDF-19502FA7A742}"/>
    <cellStyle name="Normal 5 5 2 2 5 3" xfId="6490" xr:uid="{00000000-0005-0000-0000-00005E1B0000}"/>
    <cellStyle name="Normal 5 5 2 2 5 3 2" xfId="14937" xr:uid="{6A98281E-0207-44B8-86E7-6B9444AC85AE}"/>
    <cellStyle name="Normal 5 5 2 2 5 4" xfId="10722" xr:uid="{2E5C1E69-C1EB-4C5D-A5C4-F07EAD79DF3E}"/>
    <cellStyle name="Normal 5 5 2 2 6" xfId="2620" xr:uid="{00000000-0005-0000-0000-00005F1B0000}"/>
    <cellStyle name="Normal 5 5 2 2 6 2" xfId="6903" xr:uid="{00000000-0005-0000-0000-0000601B0000}"/>
    <cellStyle name="Normal 5 5 2 2 6 2 2" xfId="15350" xr:uid="{E9D2CD99-46A9-45AA-AF17-6885527BEEDD}"/>
    <cellStyle name="Normal 5 5 2 2 6 3" xfId="11135" xr:uid="{D60D4B01-8A87-4A3B-B870-EFF13EA02B5C}"/>
    <cellStyle name="Normal 5 5 2 2 7" xfId="4838" xr:uid="{00000000-0005-0000-0000-0000611B0000}"/>
    <cellStyle name="Normal 5 5 2 2 7 2" xfId="13285" xr:uid="{D16FDCC6-BC60-4622-A573-C8F94514BF21}"/>
    <cellStyle name="Normal 5 5 2 2 8" xfId="9070" xr:uid="{E3E8D739-FA15-4252-961D-98557B7DFC8C}"/>
    <cellStyle name="Normal 5 5 2 3" xfId="939" xr:uid="{00000000-0005-0000-0000-0000621B0000}"/>
    <cellStyle name="Normal 5 5 2 3 2" xfId="3173" xr:uid="{00000000-0005-0000-0000-0000631B0000}"/>
    <cellStyle name="Normal 5 5 2 3 2 2" xfId="7395" xr:uid="{00000000-0005-0000-0000-0000641B0000}"/>
    <cellStyle name="Normal 5 5 2 3 2 2 2" xfId="15842" xr:uid="{C2EBC55F-4E46-437F-814E-568A57D9F42A}"/>
    <cellStyle name="Normal 5 5 2 3 2 3" xfId="11627" xr:uid="{395E5539-9D43-440F-8F74-641E2194AC9E}"/>
    <cellStyle name="Normal 5 5 2 3 3" xfId="5250" xr:uid="{00000000-0005-0000-0000-0000651B0000}"/>
    <cellStyle name="Normal 5 5 2 3 3 2" xfId="13697" xr:uid="{0E48C3C8-C743-4653-950B-929E904CBF24}"/>
    <cellStyle name="Normal 5 5 2 3 4" xfId="9482" xr:uid="{F9974D55-4AB4-4987-A8D2-EF350F8DEDAD}"/>
    <cellStyle name="Normal 5 5 2 4" xfId="1356" xr:uid="{00000000-0005-0000-0000-0000661B0000}"/>
    <cellStyle name="Normal 5 5 2 4 2" xfId="3586" xr:uid="{00000000-0005-0000-0000-0000671B0000}"/>
    <cellStyle name="Normal 5 5 2 4 2 2" xfId="7808" xr:uid="{00000000-0005-0000-0000-0000681B0000}"/>
    <cellStyle name="Normal 5 5 2 4 2 2 2" xfId="16255" xr:uid="{BFEB1605-25DA-475C-A09C-26C7AC5BC0E9}"/>
    <cellStyle name="Normal 5 5 2 4 2 3" xfId="12040" xr:uid="{99008137-3EBF-46C5-B9FC-A6E2CC9C05CA}"/>
    <cellStyle name="Normal 5 5 2 4 3" xfId="5663" xr:uid="{00000000-0005-0000-0000-0000691B0000}"/>
    <cellStyle name="Normal 5 5 2 4 3 2" xfId="14110" xr:uid="{E8A6A671-4523-4F36-8985-84B2F255D426}"/>
    <cellStyle name="Normal 5 5 2 4 4" xfId="9895" xr:uid="{D0646BD6-6B1B-418C-9D39-4DBA072E28DA}"/>
    <cellStyle name="Normal 5 5 2 5" xfId="1769" xr:uid="{00000000-0005-0000-0000-00006A1B0000}"/>
    <cellStyle name="Normal 5 5 2 5 2" xfId="3999" xr:uid="{00000000-0005-0000-0000-00006B1B0000}"/>
    <cellStyle name="Normal 5 5 2 5 2 2" xfId="8221" xr:uid="{00000000-0005-0000-0000-00006C1B0000}"/>
    <cellStyle name="Normal 5 5 2 5 2 2 2" xfId="16668" xr:uid="{67E2D43E-821E-47D6-9AC9-DA0633BCBFB9}"/>
    <cellStyle name="Normal 5 5 2 5 2 3" xfId="12453" xr:uid="{648E318C-B127-4D50-9A82-BC4CDAE7B1DC}"/>
    <cellStyle name="Normal 5 5 2 5 3" xfId="6076" xr:uid="{00000000-0005-0000-0000-00006D1B0000}"/>
    <cellStyle name="Normal 5 5 2 5 3 2" xfId="14523" xr:uid="{14270F98-77D8-4FD0-A989-FC607423E687}"/>
    <cellStyle name="Normal 5 5 2 5 4" xfId="10308" xr:uid="{69C6026A-CF0F-425D-870A-A1EF1B1B8CC7}"/>
    <cellStyle name="Normal 5 5 2 6" xfId="2183" xr:uid="{00000000-0005-0000-0000-00006E1B0000}"/>
    <cellStyle name="Normal 5 5 2 6 2" xfId="4412" xr:uid="{00000000-0005-0000-0000-00006F1B0000}"/>
    <cellStyle name="Normal 5 5 2 6 2 2" xfId="8634" xr:uid="{00000000-0005-0000-0000-0000701B0000}"/>
    <cellStyle name="Normal 5 5 2 6 2 2 2" xfId="17081" xr:uid="{0EFF9F68-AB48-477D-9136-DB26ACF4C3DE}"/>
    <cellStyle name="Normal 5 5 2 6 2 3" xfId="12866" xr:uid="{E8019ABC-91B2-4BB9-A142-9F3DB42CE7EC}"/>
    <cellStyle name="Normal 5 5 2 6 3" xfId="6489" xr:uid="{00000000-0005-0000-0000-0000711B0000}"/>
    <cellStyle name="Normal 5 5 2 6 3 2" xfId="14936" xr:uid="{87ACB4F6-2FF6-4EED-AB85-A27AB0F3E3C1}"/>
    <cellStyle name="Normal 5 5 2 6 4" xfId="10721" xr:uid="{AF008BD0-616A-46E0-B878-6733F2F67FC9}"/>
    <cellStyle name="Normal 5 5 2 7" xfId="2619" xr:uid="{00000000-0005-0000-0000-0000721B0000}"/>
    <cellStyle name="Normal 5 5 2 7 2" xfId="6902" xr:uid="{00000000-0005-0000-0000-0000731B0000}"/>
    <cellStyle name="Normal 5 5 2 7 2 2" xfId="15349" xr:uid="{12508E72-1894-4033-94CB-785366F61577}"/>
    <cellStyle name="Normal 5 5 2 7 3" xfId="11134" xr:uid="{C61A30D9-EA9D-4273-8F45-881AF9DB8794}"/>
    <cellStyle name="Normal 5 5 2 8" xfId="4837" xr:uid="{00000000-0005-0000-0000-0000741B0000}"/>
    <cellStyle name="Normal 5 5 2 8 2" xfId="13284" xr:uid="{5D802C66-C2A8-48E0-ACCC-B4950167B505}"/>
    <cellStyle name="Normal 5 5 2 9" xfId="9069" xr:uid="{C53CE5F0-220B-43DE-8A07-019EE93F0CC4}"/>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4" xr:uid="{D4AC8C0A-58E5-43DD-8A1D-EC584DBA947B}"/>
    <cellStyle name="Normal 5 5 3 2 2 3" xfId="11629" xr:uid="{5FD11977-FF15-4163-A033-E1A9DA44792F}"/>
    <cellStyle name="Normal 5 5 3 2 3" xfId="5252" xr:uid="{00000000-0005-0000-0000-0000791B0000}"/>
    <cellStyle name="Normal 5 5 3 2 3 2" xfId="13699" xr:uid="{9D6A98BC-8003-4FD7-8161-6F7A0C7D8CF1}"/>
    <cellStyle name="Normal 5 5 3 2 4" xfId="9484" xr:uid="{0CF4C38E-AF93-40C2-8728-52EE122FCEE5}"/>
    <cellStyle name="Normal 5 5 3 3" xfId="1358" xr:uid="{00000000-0005-0000-0000-00007A1B0000}"/>
    <cellStyle name="Normal 5 5 3 3 2" xfId="3588" xr:uid="{00000000-0005-0000-0000-00007B1B0000}"/>
    <cellStyle name="Normal 5 5 3 3 2 2" xfId="7810" xr:uid="{00000000-0005-0000-0000-00007C1B0000}"/>
    <cellStyle name="Normal 5 5 3 3 2 2 2" xfId="16257" xr:uid="{030624D2-5225-4B87-AFDB-8430C9BF382F}"/>
    <cellStyle name="Normal 5 5 3 3 2 3" xfId="12042" xr:uid="{73958B85-C7B2-4705-8335-DA77FCBCAE8A}"/>
    <cellStyle name="Normal 5 5 3 3 3" xfId="5665" xr:uid="{00000000-0005-0000-0000-00007D1B0000}"/>
    <cellStyle name="Normal 5 5 3 3 3 2" xfId="14112" xr:uid="{B8F79FFD-6E2C-4285-9083-64141E1E3307}"/>
    <cellStyle name="Normal 5 5 3 3 4" xfId="9897" xr:uid="{6D55F1DB-1B71-46FC-BEC8-F1C2E458FFB9}"/>
    <cellStyle name="Normal 5 5 3 4" xfId="1771" xr:uid="{00000000-0005-0000-0000-00007E1B0000}"/>
    <cellStyle name="Normal 5 5 3 4 2" xfId="4001" xr:uid="{00000000-0005-0000-0000-00007F1B0000}"/>
    <cellStyle name="Normal 5 5 3 4 2 2" xfId="8223" xr:uid="{00000000-0005-0000-0000-0000801B0000}"/>
    <cellStyle name="Normal 5 5 3 4 2 2 2" xfId="16670" xr:uid="{54EEB33B-7216-4C41-A764-1A892E89C86E}"/>
    <cellStyle name="Normal 5 5 3 4 2 3" xfId="12455" xr:uid="{75A59933-23D5-454C-A867-7B1DAD5C8377}"/>
    <cellStyle name="Normal 5 5 3 4 3" xfId="6078" xr:uid="{00000000-0005-0000-0000-0000811B0000}"/>
    <cellStyle name="Normal 5 5 3 4 3 2" xfId="14525" xr:uid="{60ABFB93-7B5B-4944-87A8-B5A5E801DCE2}"/>
    <cellStyle name="Normal 5 5 3 4 4" xfId="10310" xr:uid="{79F7BDF8-F81C-4DE0-AA62-5B494EA41E5F}"/>
    <cellStyle name="Normal 5 5 3 5" xfId="2185" xr:uid="{00000000-0005-0000-0000-0000821B0000}"/>
    <cellStyle name="Normal 5 5 3 5 2" xfId="4414" xr:uid="{00000000-0005-0000-0000-0000831B0000}"/>
    <cellStyle name="Normal 5 5 3 5 2 2" xfId="8636" xr:uid="{00000000-0005-0000-0000-0000841B0000}"/>
    <cellStyle name="Normal 5 5 3 5 2 2 2" xfId="17083" xr:uid="{C4B80EC7-EBDA-4BC4-9191-DC1531EBC086}"/>
    <cellStyle name="Normal 5 5 3 5 2 3" xfId="12868" xr:uid="{AA56DC20-B718-4976-8127-759FB32533B7}"/>
    <cellStyle name="Normal 5 5 3 5 3" xfId="6491" xr:uid="{00000000-0005-0000-0000-0000851B0000}"/>
    <cellStyle name="Normal 5 5 3 5 3 2" xfId="14938" xr:uid="{9DAAA437-7182-47A3-80DC-D5D0EB324812}"/>
    <cellStyle name="Normal 5 5 3 5 4" xfId="10723" xr:uid="{6FBBB352-FD04-4A94-ACAE-0527BD3D50FB}"/>
    <cellStyle name="Normal 5 5 3 6" xfId="2621" xr:uid="{00000000-0005-0000-0000-0000861B0000}"/>
    <cellStyle name="Normal 5 5 3 6 2" xfId="6904" xr:uid="{00000000-0005-0000-0000-0000871B0000}"/>
    <cellStyle name="Normal 5 5 3 6 2 2" xfId="15351" xr:uid="{8934257E-23E6-48C4-AB2A-648ADB1A4672}"/>
    <cellStyle name="Normal 5 5 3 6 3" xfId="11136" xr:uid="{AB39517F-2A70-4FAF-84E8-4057A74531A2}"/>
    <cellStyle name="Normal 5 5 3 7" xfId="4839" xr:uid="{00000000-0005-0000-0000-0000881B0000}"/>
    <cellStyle name="Normal 5 5 3 7 2" xfId="13286" xr:uid="{25F7182E-9A57-4F4B-B261-43ABBD94867B}"/>
    <cellStyle name="Normal 5 5 3 8" xfId="9071" xr:uid="{D7D0D425-8287-4B45-A459-37322B6804CE}"/>
    <cellStyle name="Normal 5 5 4" xfId="938" xr:uid="{00000000-0005-0000-0000-0000891B0000}"/>
    <cellStyle name="Normal 5 5 4 2" xfId="3172" xr:uid="{00000000-0005-0000-0000-00008A1B0000}"/>
    <cellStyle name="Normal 5 5 4 2 2" xfId="7394" xr:uid="{00000000-0005-0000-0000-00008B1B0000}"/>
    <cellStyle name="Normal 5 5 4 2 2 2" xfId="15841" xr:uid="{7125D787-B7AA-49E9-AB3A-F7B8535C8DE9}"/>
    <cellStyle name="Normal 5 5 4 2 3" xfId="11626" xr:uid="{6A60FF86-D08E-41D1-9049-ADF63125C7E5}"/>
    <cellStyle name="Normal 5 5 4 3" xfId="5249" xr:uid="{00000000-0005-0000-0000-00008C1B0000}"/>
    <cellStyle name="Normal 5 5 4 3 2" xfId="13696" xr:uid="{F073C26D-4C49-466B-AF37-289B3B02A5AF}"/>
    <cellStyle name="Normal 5 5 4 4" xfId="9481" xr:uid="{FEF277CF-849D-4F3F-9318-BD4FD08A5C32}"/>
    <cellStyle name="Normal 5 5 5" xfId="1355" xr:uid="{00000000-0005-0000-0000-00008D1B0000}"/>
    <cellStyle name="Normal 5 5 5 2" xfId="3585" xr:uid="{00000000-0005-0000-0000-00008E1B0000}"/>
    <cellStyle name="Normal 5 5 5 2 2" xfId="7807" xr:uid="{00000000-0005-0000-0000-00008F1B0000}"/>
    <cellStyle name="Normal 5 5 5 2 2 2" xfId="16254" xr:uid="{0E0CE7F6-EFAE-499E-BC23-E1BBB913D887}"/>
    <cellStyle name="Normal 5 5 5 2 3" xfId="12039" xr:uid="{D94C0D07-3C7C-49DA-BC5D-5D8BF8AEF6D0}"/>
    <cellStyle name="Normal 5 5 5 3" xfId="5662" xr:uid="{00000000-0005-0000-0000-0000901B0000}"/>
    <cellStyle name="Normal 5 5 5 3 2" xfId="14109" xr:uid="{DB3FC5CE-30EB-4604-80F7-3C51A007550C}"/>
    <cellStyle name="Normal 5 5 5 4" xfId="9894" xr:uid="{F7EC9EF8-E134-450E-831D-EEC1D8E617C5}"/>
    <cellStyle name="Normal 5 5 6" xfId="1768" xr:uid="{00000000-0005-0000-0000-0000911B0000}"/>
    <cellStyle name="Normal 5 5 6 2" xfId="3998" xr:uid="{00000000-0005-0000-0000-0000921B0000}"/>
    <cellStyle name="Normal 5 5 6 2 2" xfId="8220" xr:uid="{00000000-0005-0000-0000-0000931B0000}"/>
    <cellStyle name="Normal 5 5 6 2 2 2" xfId="16667" xr:uid="{6CA897CE-5201-4498-9F6D-1608F739FF0E}"/>
    <cellStyle name="Normal 5 5 6 2 3" xfId="12452" xr:uid="{86594E9A-827C-4328-A20E-2919355B5C3A}"/>
    <cellStyle name="Normal 5 5 6 3" xfId="6075" xr:uid="{00000000-0005-0000-0000-0000941B0000}"/>
    <cellStyle name="Normal 5 5 6 3 2" xfId="14522" xr:uid="{86A1DACE-4E80-4B20-89E9-C14447A1A9C6}"/>
    <cellStyle name="Normal 5 5 6 4" xfId="10307" xr:uid="{BA5615D3-D30B-4027-AC6D-6157066F4BE6}"/>
    <cellStyle name="Normal 5 5 7" xfId="2182" xr:uid="{00000000-0005-0000-0000-0000951B0000}"/>
    <cellStyle name="Normal 5 5 7 2" xfId="4411" xr:uid="{00000000-0005-0000-0000-0000961B0000}"/>
    <cellStyle name="Normal 5 5 7 2 2" xfId="8633" xr:uid="{00000000-0005-0000-0000-0000971B0000}"/>
    <cellStyle name="Normal 5 5 7 2 2 2" xfId="17080" xr:uid="{E55DB0B6-8B7D-4063-8BC0-E58042291C44}"/>
    <cellStyle name="Normal 5 5 7 2 3" xfId="12865" xr:uid="{389C7542-A311-4803-95CC-E44B44176C32}"/>
    <cellStyle name="Normal 5 5 7 3" xfId="6488" xr:uid="{00000000-0005-0000-0000-0000981B0000}"/>
    <cellStyle name="Normal 5 5 7 3 2" xfId="14935" xr:uid="{343C5D61-6AFB-4168-B2B4-1707813F6140}"/>
    <cellStyle name="Normal 5 5 7 4" xfId="10720" xr:uid="{6E23A6DD-37C8-4ACD-871A-18A99E254F6B}"/>
    <cellStyle name="Normal 5 5 8" xfId="2618" xr:uid="{00000000-0005-0000-0000-0000991B0000}"/>
    <cellStyle name="Normal 5 5 8 2" xfId="6901" xr:uid="{00000000-0005-0000-0000-00009A1B0000}"/>
    <cellStyle name="Normal 5 5 8 2 2" xfId="15348" xr:uid="{41593322-F0BD-46B4-8254-FA6FFB218B02}"/>
    <cellStyle name="Normal 5 5 8 3" xfId="11133" xr:uid="{87145BF2-8480-4CE5-B635-72E2653F6644}"/>
    <cellStyle name="Normal 5 5 9" xfId="4836" xr:uid="{00000000-0005-0000-0000-00009B1B0000}"/>
    <cellStyle name="Normal 5 5 9 2" xfId="13283" xr:uid="{CACE5087-FA94-42CA-8035-4690A994C987}"/>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6" xr:uid="{AAC04FC4-FD6C-4F04-A984-6610A7BB4535}"/>
    <cellStyle name="Normal 5 6 2 2 2 3" xfId="11631" xr:uid="{71671C98-EB60-47D7-BD43-3800F1B1A0EE}"/>
    <cellStyle name="Normal 5 6 2 2 3" xfId="5254" xr:uid="{00000000-0005-0000-0000-0000A11B0000}"/>
    <cellStyle name="Normal 5 6 2 2 3 2" xfId="13701" xr:uid="{D735C129-F768-4B65-BF3E-57B121E5C9B2}"/>
    <cellStyle name="Normal 5 6 2 2 4" xfId="9486" xr:uid="{7DAA69C8-69F5-4067-B777-58120621EF87}"/>
    <cellStyle name="Normal 5 6 2 3" xfId="1360" xr:uid="{00000000-0005-0000-0000-0000A21B0000}"/>
    <cellStyle name="Normal 5 6 2 3 2" xfId="3590" xr:uid="{00000000-0005-0000-0000-0000A31B0000}"/>
    <cellStyle name="Normal 5 6 2 3 2 2" xfId="7812" xr:uid="{00000000-0005-0000-0000-0000A41B0000}"/>
    <cellStyle name="Normal 5 6 2 3 2 2 2" xfId="16259" xr:uid="{DFABC858-9089-4C6D-B437-4B215F63FE3F}"/>
    <cellStyle name="Normal 5 6 2 3 2 3" xfId="12044" xr:uid="{B9320DF1-F698-4E49-80FE-68AF12070DEF}"/>
    <cellStyle name="Normal 5 6 2 3 3" xfId="5667" xr:uid="{00000000-0005-0000-0000-0000A51B0000}"/>
    <cellStyle name="Normal 5 6 2 3 3 2" xfId="14114" xr:uid="{00D2A4E1-404E-4EDE-AA84-BA391736B672}"/>
    <cellStyle name="Normal 5 6 2 3 4" xfId="9899" xr:uid="{B1DA3950-9194-4C14-9744-352C4D779D40}"/>
    <cellStyle name="Normal 5 6 2 4" xfId="1773" xr:uid="{00000000-0005-0000-0000-0000A61B0000}"/>
    <cellStyle name="Normal 5 6 2 4 2" xfId="4003" xr:uid="{00000000-0005-0000-0000-0000A71B0000}"/>
    <cellStyle name="Normal 5 6 2 4 2 2" xfId="8225" xr:uid="{00000000-0005-0000-0000-0000A81B0000}"/>
    <cellStyle name="Normal 5 6 2 4 2 2 2" xfId="16672" xr:uid="{522B5671-5C19-41DE-8F65-E7074578EC6E}"/>
    <cellStyle name="Normal 5 6 2 4 2 3" xfId="12457" xr:uid="{5451C6F7-9C13-4A32-88B5-C7F4BC41BD68}"/>
    <cellStyle name="Normal 5 6 2 4 3" xfId="6080" xr:uid="{00000000-0005-0000-0000-0000A91B0000}"/>
    <cellStyle name="Normal 5 6 2 4 3 2" xfId="14527" xr:uid="{D7EFD618-A24A-49BC-A6D3-AE24DE0DAB8E}"/>
    <cellStyle name="Normal 5 6 2 4 4" xfId="10312" xr:uid="{BAB207C2-56E8-4DFE-A9C1-816CC3B8974A}"/>
    <cellStyle name="Normal 5 6 2 5" xfId="2187" xr:uid="{00000000-0005-0000-0000-0000AA1B0000}"/>
    <cellStyle name="Normal 5 6 2 5 2" xfId="4416" xr:uid="{00000000-0005-0000-0000-0000AB1B0000}"/>
    <cellStyle name="Normal 5 6 2 5 2 2" xfId="8638" xr:uid="{00000000-0005-0000-0000-0000AC1B0000}"/>
    <cellStyle name="Normal 5 6 2 5 2 2 2" xfId="17085" xr:uid="{9A49B8B8-DE9B-4DEA-94D4-866EA37C8E70}"/>
    <cellStyle name="Normal 5 6 2 5 2 3" xfId="12870" xr:uid="{AB2EAA54-46D3-40A7-9749-4626D43BD8C0}"/>
    <cellStyle name="Normal 5 6 2 5 3" xfId="6493" xr:uid="{00000000-0005-0000-0000-0000AD1B0000}"/>
    <cellStyle name="Normal 5 6 2 5 3 2" xfId="14940" xr:uid="{3B738429-EEFA-4472-ADC3-5012133C95C5}"/>
    <cellStyle name="Normal 5 6 2 5 4" xfId="10725" xr:uid="{4339C820-6570-418E-9296-DF77753408CE}"/>
    <cellStyle name="Normal 5 6 2 6" xfId="2623" xr:uid="{00000000-0005-0000-0000-0000AE1B0000}"/>
    <cellStyle name="Normal 5 6 2 6 2" xfId="6906" xr:uid="{00000000-0005-0000-0000-0000AF1B0000}"/>
    <cellStyle name="Normal 5 6 2 6 2 2" xfId="15353" xr:uid="{A91E59B7-8FF7-4073-98C9-4E14589BD4D0}"/>
    <cellStyle name="Normal 5 6 2 6 3" xfId="11138" xr:uid="{A4429480-32A2-4EF0-9285-EC1DDBBEBBF5}"/>
    <cellStyle name="Normal 5 6 2 7" xfId="4841" xr:uid="{00000000-0005-0000-0000-0000B01B0000}"/>
    <cellStyle name="Normal 5 6 2 7 2" xfId="13288" xr:uid="{5C05B5B4-51F3-46CB-A91E-5A8070947CE3}"/>
    <cellStyle name="Normal 5 6 2 8" xfId="9073" xr:uid="{7BE7160A-4FED-427E-A791-D094FBC6350C}"/>
    <cellStyle name="Normal 5 6 3" xfId="942" xr:uid="{00000000-0005-0000-0000-0000B11B0000}"/>
    <cellStyle name="Normal 5 6 3 2" xfId="3176" xr:uid="{00000000-0005-0000-0000-0000B21B0000}"/>
    <cellStyle name="Normal 5 6 3 2 2" xfId="7398" xr:uid="{00000000-0005-0000-0000-0000B31B0000}"/>
    <cellStyle name="Normal 5 6 3 2 2 2" xfId="15845" xr:uid="{7CA04B1C-60D2-4CC9-97D7-6F0CBBC3C532}"/>
    <cellStyle name="Normal 5 6 3 2 3" xfId="11630" xr:uid="{C253AE24-F287-4D97-94AE-7A14E0832FF1}"/>
    <cellStyle name="Normal 5 6 3 3" xfId="5253" xr:uid="{00000000-0005-0000-0000-0000B41B0000}"/>
    <cellStyle name="Normal 5 6 3 3 2" xfId="13700" xr:uid="{2262B63E-1E90-413C-9CC4-DAC199513635}"/>
    <cellStyle name="Normal 5 6 3 4" xfId="9485" xr:uid="{48D45439-80CA-4D1C-8529-A15C8821F700}"/>
    <cellStyle name="Normal 5 6 4" xfId="1359" xr:uid="{00000000-0005-0000-0000-0000B51B0000}"/>
    <cellStyle name="Normal 5 6 4 2" xfId="3589" xr:uid="{00000000-0005-0000-0000-0000B61B0000}"/>
    <cellStyle name="Normal 5 6 4 2 2" xfId="7811" xr:uid="{00000000-0005-0000-0000-0000B71B0000}"/>
    <cellStyle name="Normal 5 6 4 2 2 2" xfId="16258" xr:uid="{F8982C4D-EAE5-46F6-97F1-E196C0552979}"/>
    <cellStyle name="Normal 5 6 4 2 3" xfId="12043" xr:uid="{5882BB93-AE55-4850-A460-133014D3B8DF}"/>
    <cellStyle name="Normal 5 6 4 3" xfId="5666" xr:uid="{00000000-0005-0000-0000-0000B81B0000}"/>
    <cellStyle name="Normal 5 6 4 3 2" xfId="14113" xr:uid="{F0F612DC-D5AC-4C2C-B92C-152A002C1F79}"/>
    <cellStyle name="Normal 5 6 4 4" xfId="9898" xr:uid="{34051704-F786-4148-9914-E3D60D1BA227}"/>
    <cellStyle name="Normal 5 6 5" xfId="1772" xr:uid="{00000000-0005-0000-0000-0000B91B0000}"/>
    <cellStyle name="Normal 5 6 5 2" xfId="4002" xr:uid="{00000000-0005-0000-0000-0000BA1B0000}"/>
    <cellStyle name="Normal 5 6 5 2 2" xfId="8224" xr:uid="{00000000-0005-0000-0000-0000BB1B0000}"/>
    <cellStyle name="Normal 5 6 5 2 2 2" xfId="16671" xr:uid="{96661E80-FB56-48A4-80EC-81FAE59FE5E6}"/>
    <cellStyle name="Normal 5 6 5 2 3" xfId="12456" xr:uid="{EAC898FA-00F0-4D89-BAA9-CEB359DC7EE7}"/>
    <cellStyle name="Normal 5 6 5 3" xfId="6079" xr:uid="{00000000-0005-0000-0000-0000BC1B0000}"/>
    <cellStyle name="Normal 5 6 5 3 2" xfId="14526" xr:uid="{F9C2CF2C-65A1-4816-8E20-345B001C9A76}"/>
    <cellStyle name="Normal 5 6 5 4" xfId="10311" xr:uid="{29C305A8-8696-4EAA-A2FC-10EF2D7802A0}"/>
    <cellStyle name="Normal 5 6 6" xfId="2186" xr:uid="{00000000-0005-0000-0000-0000BD1B0000}"/>
    <cellStyle name="Normal 5 6 6 2" xfId="4415" xr:uid="{00000000-0005-0000-0000-0000BE1B0000}"/>
    <cellStyle name="Normal 5 6 6 2 2" xfId="8637" xr:uid="{00000000-0005-0000-0000-0000BF1B0000}"/>
    <cellStyle name="Normal 5 6 6 2 2 2" xfId="17084" xr:uid="{D9E52041-0685-41AE-B319-FBD18DB8D99E}"/>
    <cellStyle name="Normal 5 6 6 2 3" xfId="12869" xr:uid="{40D1A097-2AFB-49E3-A605-BB8EF2460FDF}"/>
    <cellStyle name="Normal 5 6 6 3" xfId="6492" xr:uid="{00000000-0005-0000-0000-0000C01B0000}"/>
    <cellStyle name="Normal 5 6 6 3 2" xfId="14939" xr:uid="{64AEFD9C-FD36-4DF5-8A8A-C0F8019A6146}"/>
    <cellStyle name="Normal 5 6 6 4" xfId="10724" xr:uid="{002FA190-E0BE-498B-81CE-46F171F30EB5}"/>
    <cellStyle name="Normal 5 6 7" xfId="2622" xr:uid="{00000000-0005-0000-0000-0000C11B0000}"/>
    <cellStyle name="Normal 5 6 7 2" xfId="6905" xr:uid="{00000000-0005-0000-0000-0000C21B0000}"/>
    <cellStyle name="Normal 5 6 7 2 2" xfId="15352" xr:uid="{332D95A3-D519-43A1-8DEE-E1B8007ACC0D}"/>
    <cellStyle name="Normal 5 6 7 3" xfId="11137" xr:uid="{DF395AA8-F585-43DA-AC32-47EFCF4866AA}"/>
    <cellStyle name="Normal 5 6 8" xfId="4840" xr:uid="{00000000-0005-0000-0000-0000C31B0000}"/>
    <cellStyle name="Normal 5 6 8 2" xfId="13287" xr:uid="{354FD70A-8F66-4419-B098-89D73845DD56}"/>
    <cellStyle name="Normal 5 6 9" xfId="9072" xr:uid="{B07B029E-4608-44B5-AAB2-F804B6B9767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47" xr:uid="{67F7CBC9-9ECA-4860-896E-A343F23B4D0C}"/>
    <cellStyle name="Normal 5 7 2 2 3" xfId="11632" xr:uid="{065AAFF1-0CE8-47F9-98B3-B75416577972}"/>
    <cellStyle name="Normal 5 7 2 3" xfId="5255" xr:uid="{00000000-0005-0000-0000-0000C81B0000}"/>
    <cellStyle name="Normal 5 7 2 3 2" xfId="13702" xr:uid="{B98F0C45-47E6-4932-8461-7BBC17A0EF21}"/>
    <cellStyle name="Normal 5 7 2 4" xfId="9487" xr:uid="{996F8875-9F92-4C10-BFC7-2E667DFD80C6}"/>
    <cellStyle name="Normal 5 7 3" xfId="1361" xr:uid="{00000000-0005-0000-0000-0000C91B0000}"/>
    <cellStyle name="Normal 5 7 3 2" xfId="3591" xr:uid="{00000000-0005-0000-0000-0000CA1B0000}"/>
    <cellStyle name="Normal 5 7 3 2 2" xfId="7813" xr:uid="{00000000-0005-0000-0000-0000CB1B0000}"/>
    <cellStyle name="Normal 5 7 3 2 2 2" xfId="16260" xr:uid="{30BED17F-DABF-46F9-9FE9-9317C39542B3}"/>
    <cellStyle name="Normal 5 7 3 2 3" xfId="12045" xr:uid="{9E2B3222-6FF4-41E9-9403-B1F000329D0F}"/>
    <cellStyle name="Normal 5 7 3 3" xfId="5668" xr:uid="{00000000-0005-0000-0000-0000CC1B0000}"/>
    <cellStyle name="Normal 5 7 3 3 2" xfId="14115" xr:uid="{414AE593-0B31-4F23-ACA6-BEE60361ED33}"/>
    <cellStyle name="Normal 5 7 3 4" xfId="9900" xr:uid="{762954C5-56C0-4ED9-AA33-D6A9A39B8F48}"/>
    <cellStyle name="Normal 5 7 4" xfId="1774" xr:uid="{00000000-0005-0000-0000-0000CD1B0000}"/>
    <cellStyle name="Normal 5 7 4 2" xfId="4004" xr:uid="{00000000-0005-0000-0000-0000CE1B0000}"/>
    <cellStyle name="Normal 5 7 4 2 2" xfId="8226" xr:uid="{00000000-0005-0000-0000-0000CF1B0000}"/>
    <cellStyle name="Normal 5 7 4 2 2 2" xfId="16673" xr:uid="{7062AA1F-05CB-4CDB-8743-450224D40E4B}"/>
    <cellStyle name="Normal 5 7 4 2 3" xfId="12458" xr:uid="{A9972380-2FB8-44B0-B479-CB4D226F684F}"/>
    <cellStyle name="Normal 5 7 4 3" xfId="6081" xr:uid="{00000000-0005-0000-0000-0000D01B0000}"/>
    <cellStyle name="Normal 5 7 4 3 2" xfId="14528" xr:uid="{7A13BB54-4350-4C48-91F4-1B7B60A8D732}"/>
    <cellStyle name="Normal 5 7 4 4" xfId="10313" xr:uid="{314F10B8-7FF6-4F32-8472-2B19FB7DC46F}"/>
    <cellStyle name="Normal 5 7 5" xfId="2188" xr:uid="{00000000-0005-0000-0000-0000D11B0000}"/>
    <cellStyle name="Normal 5 7 5 2" xfId="4417" xr:uid="{00000000-0005-0000-0000-0000D21B0000}"/>
    <cellStyle name="Normal 5 7 5 2 2" xfId="8639" xr:uid="{00000000-0005-0000-0000-0000D31B0000}"/>
    <cellStyle name="Normal 5 7 5 2 2 2" xfId="17086" xr:uid="{2BBC5721-D77F-4340-A863-A11EA0A63FB4}"/>
    <cellStyle name="Normal 5 7 5 2 3" xfId="12871" xr:uid="{12F99507-D55D-4137-929B-85A9EE53D579}"/>
    <cellStyle name="Normal 5 7 5 3" xfId="6494" xr:uid="{00000000-0005-0000-0000-0000D41B0000}"/>
    <cellStyle name="Normal 5 7 5 3 2" xfId="14941" xr:uid="{115B0DC8-4B17-40DF-8190-46EAA147907B}"/>
    <cellStyle name="Normal 5 7 5 4" xfId="10726" xr:uid="{3B205D0C-BC11-460B-AB3C-33B95286A74A}"/>
    <cellStyle name="Normal 5 7 6" xfId="2624" xr:uid="{00000000-0005-0000-0000-0000D51B0000}"/>
    <cellStyle name="Normal 5 7 6 2" xfId="6907" xr:uid="{00000000-0005-0000-0000-0000D61B0000}"/>
    <cellStyle name="Normal 5 7 6 2 2" xfId="15354" xr:uid="{7D8B0D9D-48FE-41B5-BC2A-CEABF21CBE96}"/>
    <cellStyle name="Normal 5 7 6 3" xfId="11139" xr:uid="{CF3B043C-70D0-4B4D-8D98-6C325253600D}"/>
    <cellStyle name="Normal 5 7 7" xfId="4842" xr:uid="{00000000-0005-0000-0000-0000D71B0000}"/>
    <cellStyle name="Normal 5 7 7 2" xfId="13289" xr:uid="{9A648F7D-CB03-4AD3-BC17-A00FE354055B}"/>
    <cellStyle name="Normal 5 7 8" xfId="9074" xr:uid="{FAA8B70C-40BC-4412-81B7-A7BD0E79CF13}"/>
    <cellStyle name="Normal 5 8" xfId="880" xr:uid="{00000000-0005-0000-0000-0000D81B0000}"/>
    <cellStyle name="Normal 5 8 2" xfId="3115" xr:uid="{00000000-0005-0000-0000-0000D91B0000}"/>
    <cellStyle name="Normal 5 8 2 2" xfId="7337" xr:uid="{00000000-0005-0000-0000-0000DA1B0000}"/>
    <cellStyle name="Normal 5 8 2 2 2" xfId="15784" xr:uid="{33FB72E5-8E85-446B-BA54-6A9D043BAE22}"/>
    <cellStyle name="Normal 5 8 2 3" xfId="11569" xr:uid="{601B3A7E-485E-420A-ADDD-51800205C555}"/>
    <cellStyle name="Normal 5 8 3" xfId="5192" xr:uid="{00000000-0005-0000-0000-0000DB1B0000}"/>
    <cellStyle name="Normal 5 8 3 2" xfId="13639" xr:uid="{A4E3BA0A-8418-44FC-9A12-24396DF86F7A}"/>
    <cellStyle name="Normal 5 8 4" xfId="9424" xr:uid="{CD397D7B-FC69-48A5-9850-98E64CF6884F}"/>
    <cellStyle name="Normal 5 9" xfId="1298" xr:uid="{00000000-0005-0000-0000-0000DC1B0000}"/>
    <cellStyle name="Normal 5 9 2" xfId="3528" xr:uid="{00000000-0005-0000-0000-0000DD1B0000}"/>
    <cellStyle name="Normal 5 9 2 2" xfId="7750" xr:uid="{00000000-0005-0000-0000-0000DE1B0000}"/>
    <cellStyle name="Normal 5 9 2 2 2" xfId="16197" xr:uid="{CA7C7D14-1F84-4376-9041-13EA1117B508}"/>
    <cellStyle name="Normal 5 9 2 3" xfId="11982" xr:uid="{0209D72B-D21D-4A59-AB52-212EC2006F2B}"/>
    <cellStyle name="Normal 5 9 3" xfId="5605" xr:uid="{00000000-0005-0000-0000-0000DF1B0000}"/>
    <cellStyle name="Normal 5 9 3 2" xfId="14052" xr:uid="{4113761D-1BB0-4BA3-9E21-EE7C19CF2E29}"/>
    <cellStyle name="Normal 5 9 4" xfId="9837" xr:uid="{4F626F78-EA44-4C7B-88E7-3DBC98AB5887}"/>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87" xr:uid="{607F1C3E-8245-4E70-88BB-0493DECE7087}"/>
    <cellStyle name="Normal 8 10 2 3" xfId="12872" xr:uid="{A226C12B-D871-4FF3-A42A-8CAC14B46E7E}"/>
    <cellStyle name="Normal 8 10 3" xfId="6495" xr:uid="{00000000-0005-0000-0000-0000EB1B0000}"/>
    <cellStyle name="Normal 8 10 3 2" xfId="14942" xr:uid="{93A42439-49C1-4E6A-9F99-053CFE02850F}"/>
    <cellStyle name="Normal 8 10 4" xfId="10727" xr:uid="{F2032911-F698-4DA1-8182-CB7EBAA39EFA}"/>
    <cellStyle name="Normal 8 11" xfId="2625" xr:uid="{00000000-0005-0000-0000-0000EC1B0000}"/>
    <cellStyle name="Normal 8 11 2" xfId="6908" xr:uid="{00000000-0005-0000-0000-0000ED1B0000}"/>
    <cellStyle name="Normal 8 11 2 2" xfId="15355" xr:uid="{8E1A9674-3C06-42E9-852D-84893CA7FA22}"/>
    <cellStyle name="Normal 8 11 3" xfId="11140" xr:uid="{B4D95A52-DF4D-4EE4-94F4-A5DB8877B884}"/>
    <cellStyle name="Normal 8 12" xfId="4843" xr:uid="{00000000-0005-0000-0000-0000EE1B0000}"/>
    <cellStyle name="Normal 8 12 2" xfId="13290" xr:uid="{84E63888-640C-43B1-94F4-9F387B301821}"/>
    <cellStyle name="Normal 8 13" xfId="9075" xr:uid="{3DBB7525-31E1-4AF7-8C8D-53814DF48214}"/>
    <cellStyle name="Normal 8 2" xfId="479" xr:uid="{00000000-0005-0000-0000-0000EF1B0000}"/>
    <cellStyle name="Normal 8 2 10" xfId="2626" xr:uid="{00000000-0005-0000-0000-0000F01B0000}"/>
    <cellStyle name="Normal 8 2 10 2" xfId="6909" xr:uid="{00000000-0005-0000-0000-0000F11B0000}"/>
    <cellStyle name="Normal 8 2 10 2 2" xfId="15356" xr:uid="{8663881E-47A2-486C-860B-891BFF5725CC}"/>
    <cellStyle name="Normal 8 2 10 3" xfId="11141" xr:uid="{93899382-8B8A-4D51-9DBE-C57C67CF58A7}"/>
    <cellStyle name="Normal 8 2 11" xfId="4844" xr:uid="{00000000-0005-0000-0000-0000F21B0000}"/>
    <cellStyle name="Normal 8 2 11 2" xfId="13291" xr:uid="{3C85C1BC-B3B5-4233-9FE5-9F9D7907CD87}"/>
    <cellStyle name="Normal 8 2 12" xfId="9076" xr:uid="{5C6E46DF-C4C5-4FD8-9233-D5411CB249C9}"/>
    <cellStyle name="Normal 8 2 2" xfId="480" xr:uid="{00000000-0005-0000-0000-0000F31B0000}"/>
    <cellStyle name="Normal 8 2 2 10" xfId="4845" xr:uid="{00000000-0005-0000-0000-0000F41B0000}"/>
    <cellStyle name="Normal 8 2 2 10 2" xfId="13292" xr:uid="{3C9905E0-4270-4B49-A0C6-073820D448F6}"/>
    <cellStyle name="Normal 8 2 2 11" xfId="9077" xr:uid="{FCAAF4FB-BB3B-42C2-890B-32ECCFCADEB0}"/>
    <cellStyle name="Normal 8 2 2 2" xfId="481" xr:uid="{00000000-0005-0000-0000-0000F51B0000}"/>
    <cellStyle name="Normal 8 2 2 2 10" xfId="9078" xr:uid="{87D29809-1586-4ED3-AEE6-CC0CBFFBAF8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3" xr:uid="{2658BDFE-159F-44CC-B21F-B37E8E77CDA9}"/>
    <cellStyle name="Normal 8 2 2 2 2 2 2 2 3" xfId="11638" xr:uid="{E0B6A0F6-75EF-4AEC-B8AF-53626270BCC8}"/>
    <cellStyle name="Normal 8 2 2 2 2 2 2 3" xfId="5261" xr:uid="{00000000-0005-0000-0000-0000FB1B0000}"/>
    <cellStyle name="Normal 8 2 2 2 2 2 2 3 2" xfId="13708" xr:uid="{5B2D8FF7-8DC4-448E-9A2C-E0CE89E46E83}"/>
    <cellStyle name="Normal 8 2 2 2 2 2 2 4" xfId="9493" xr:uid="{D7D0445F-2A0A-43AB-9348-2D9CD45DE2F9}"/>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6" xr:uid="{92464636-0525-4BC5-AA93-75AD15353C06}"/>
    <cellStyle name="Normal 8 2 2 2 2 2 3 2 3" xfId="12051" xr:uid="{052F410A-0C2D-4E7F-9D2E-64306F0C75F9}"/>
    <cellStyle name="Normal 8 2 2 2 2 2 3 3" xfId="5674" xr:uid="{00000000-0005-0000-0000-0000FF1B0000}"/>
    <cellStyle name="Normal 8 2 2 2 2 2 3 3 2" xfId="14121" xr:uid="{E7F68B53-C2ED-4483-B6BB-F53AD0D368F3}"/>
    <cellStyle name="Normal 8 2 2 2 2 2 3 4" xfId="9906" xr:uid="{AF96E982-8651-4D4E-914D-FC0D069B8C8F}"/>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79" xr:uid="{8F91C350-C817-4583-B1F7-A3A72E3619B5}"/>
    <cellStyle name="Normal 8 2 2 2 2 2 4 2 3" xfId="12464" xr:uid="{085E3723-D193-4C62-9E7A-DEC504A7C7C1}"/>
    <cellStyle name="Normal 8 2 2 2 2 2 4 3" xfId="6087" xr:uid="{00000000-0005-0000-0000-0000031C0000}"/>
    <cellStyle name="Normal 8 2 2 2 2 2 4 3 2" xfId="14534" xr:uid="{4F98D627-AC04-49E3-9559-8C675BDE5851}"/>
    <cellStyle name="Normal 8 2 2 2 2 2 4 4" xfId="10319" xr:uid="{E3BF2F7C-827B-47DA-8224-A749BD614764}"/>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2" xr:uid="{53C073E5-FAFE-4FFF-96E7-0E8A33963587}"/>
    <cellStyle name="Normal 8 2 2 2 2 2 5 2 3" xfId="12877" xr:uid="{11C57A5D-465F-48D9-8490-9A2B9645A6AF}"/>
    <cellStyle name="Normal 8 2 2 2 2 2 5 3" xfId="6500" xr:uid="{00000000-0005-0000-0000-0000071C0000}"/>
    <cellStyle name="Normal 8 2 2 2 2 2 5 3 2" xfId="14947" xr:uid="{91A7E940-1841-4096-BEC4-0E76FD3EE50B}"/>
    <cellStyle name="Normal 8 2 2 2 2 2 5 4" xfId="10732" xr:uid="{2F88B22A-E657-4FF6-8053-07B1E441BAF4}"/>
    <cellStyle name="Normal 8 2 2 2 2 2 6" xfId="2630" xr:uid="{00000000-0005-0000-0000-0000081C0000}"/>
    <cellStyle name="Normal 8 2 2 2 2 2 6 2" xfId="6913" xr:uid="{00000000-0005-0000-0000-0000091C0000}"/>
    <cellStyle name="Normal 8 2 2 2 2 2 6 2 2" xfId="15360" xr:uid="{4C1512B4-6EB4-4B02-ABC8-8C20133A3417}"/>
    <cellStyle name="Normal 8 2 2 2 2 2 6 3" xfId="11145" xr:uid="{15DC9D3E-6EFD-4CB6-8641-D22B968E605A}"/>
    <cellStyle name="Normal 8 2 2 2 2 2 7" xfId="4848" xr:uid="{00000000-0005-0000-0000-00000A1C0000}"/>
    <cellStyle name="Normal 8 2 2 2 2 2 7 2" xfId="13295" xr:uid="{34CB9FC2-449C-4548-9CD2-58622AEDAAD8}"/>
    <cellStyle name="Normal 8 2 2 2 2 2 8" xfId="9080" xr:uid="{51F29604-BD51-4622-8208-6ADCACF689A9}"/>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2" xr:uid="{284BA2F7-95D1-4CA9-B413-027C1A2273D8}"/>
    <cellStyle name="Normal 8 2 2 2 2 3 2 3" xfId="11637" xr:uid="{DBACBC4F-919F-4134-8085-930D47F0A49A}"/>
    <cellStyle name="Normal 8 2 2 2 2 3 3" xfId="5260" xr:uid="{00000000-0005-0000-0000-00000E1C0000}"/>
    <cellStyle name="Normal 8 2 2 2 2 3 3 2" xfId="13707" xr:uid="{582B60D6-797E-4DC8-8070-6B8BF6084F72}"/>
    <cellStyle name="Normal 8 2 2 2 2 3 4" xfId="9492" xr:uid="{AAF9E2DB-22C2-4003-B82D-A3428126D9F4}"/>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5" xr:uid="{EE9B7B17-8655-4669-B5E6-23C44D9C93D1}"/>
    <cellStyle name="Normal 8 2 2 2 2 4 2 3" xfId="12050" xr:uid="{29F523C0-DAA9-43D2-AA1F-AAE4A9F5BB04}"/>
    <cellStyle name="Normal 8 2 2 2 2 4 3" xfId="5673" xr:uid="{00000000-0005-0000-0000-0000121C0000}"/>
    <cellStyle name="Normal 8 2 2 2 2 4 3 2" xfId="14120" xr:uid="{DDA07549-A947-4780-822C-37E2197C19C2}"/>
    <cellStyle name="Normal 8 2 2 2 2 4 4" xfId="9905" xr:uid="{168BFF51-97F7-4E64-8EB3-1A38B2AFC919}"/>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78" xr:uid="{5C8DAFE4-E57D-416A-A7BD-404E8184118D}"/>
    <cellStyle name="Normal 8 2 2 2 2 5 2 3" xfId="12463" xr:uid="{1156D438-6B11-4A51-AD74-3AB023B6EE03}"/>
    <cellStyle name="Normal 8 2 2 2 2 5 3" xfId="6086" xr:uid="{00000000-0005-0000-0000-0000161C0000}"/>
    <cellStyle name="Normal 8 2 2 2 2 5 3 2" xfId="14533" xr:uid="{A879C2A1-AFCC-41E9-9C12-23BD1B3CA3A6}"/>
    <cellStyle name="Normal 8 2 2 2 2 5 4" xfId="10318" xr:uid="{2EC572A4-F3BE-4C61-950D-9EB9701980C9}"/>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1" xr:uid="{1E64DA84-A53A-4B10-99A9-EC2E02023409}"/>
    <cellStyle name="Normal 8 2 2 2 2 6 2 3" xfId="12876" xr:uid="{DF38E464-C943-4BF8-B5F3-99E3A751C646}"/>
    <cellStyle name="Normal 8 2 2 2 2 6 3" xfId="6499" xr:uid="{00000000-0005-0000-0000-00001A1C0000}"/>
    <cellStyle name="Normal 8 2 2 2 2 6 3 2" xfId="14946" xr:uid="{5A626C67-BC85-4C79-8E6D-5D36791BCECD}"/>
    <cellStyle name="Normal 8 2 2 2 2 6 4" xfId="10731" xr:uid="{1EF0F71C-3E98-4286-996B-3B6D5AC2F60C}"/>
    <cellStyle name="Normal 8 2 2 2 2 7" xfId="2629" xr:uid="{00000000-0005-0000-0000-00001B1C0000}"/>
    <cellStyle name="Normal 8 2 2 2 2 7 2" xfId="6912" xr:uid="{00000000-0005-0000-0000-00001C1C0000}"/>
    <cellStyle name="Normal 8 2 2 2 2 7 2 2" xfId="15359" xr:uid="{2A7A2788-0C3A-4F8A-9C95-3FF7B3C28AEA}"/>
    <cellStyle name="Normal 8 2 2 2 2 7 3" xfId="11144" xr:uid="{8F132C69-4C3F-466A-8EF0-8AC7F14A027B}"/>
    <cellStyle name="Normal 8 2 2 2 2 8" xfId="4847" xr:uid="{00000000-0005-0000-0000-00001D1C0000}"/>
    <cellStyle name="Normal 8 2 2 2 2 8 2" xfId="13294" xr:uid="{A960566B-EFEA-4977-83BC-36DD28A58E7E}"/>
    <cellStyle name="Normal 8 2 2 2 2 9" xfId="9079" xr:uid="{7D9953FE-A853-4F70-929B-3883A2A32098}"/>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4" xr:uid="{F608829A-04F1-4CDE-91A7-FCB4EC363105}"/>
    <cellStyle name="Normal 8 2 2 2 3 2 2 3" xfId="11639" xr:uid="{4EE45A92-AC0B-41DD-B0D2-40FA923F195D}"/>
    <cellStyle name="Normal 8 2 2 2 3 2 3" xfId="5262" xr:uid="{00000000-0005-0000-0000-0000221C0000}"/>
    <cellStyle name="Normal 8 2 2 2 3 2 3 2" xfId="13709" xr:uid="{62916E98-5777-46D6-8868-AB7D29FEDFF3}"/>
    <cellStyle name="Normal 8 2 2 2 3 2 4" xfId="9494" xr:uid="{B986FE91-1A7E-4B5B-9486-66D047E199DB}"/>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67" xr:uid="{E28CA268-A957-4B92-A6A0-988AEA555960}"/>
    <cellStyle name="Normal 8 2 2 2 3 3 2 3" xfId="12052" xr:uid="{72633A20-A6C1-44D3-9B34-D125AABF00DE}"/>
    <cellStyle name="Normal 8 2 2 2 3 3 3" xfId="5675" xr:uid="{00000000-0005-0000-0000-0000261C0000}"/>
    <cellStyle name="Normal 8 2 2 2 3 3 3 2" xfId="14122" xr:uid="{87459594-AD8E-48C0-96E5-6DF73F39033C}"/>
    <cellStyle name="Normal 8 2 2 2 3 3 4" xfId="9907" xr:uid="{8DEC9B10-1AC0-4CDA-9EA4-C372A75748FE}"/>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0" xr:uid="{06220D94-E323-406A-B719-96012C1EDE6F}"/>
    <cellStyle name="Normal 8 2 2 2 3 4 2 3" xfId="12465" xr:uid="{BEF86494-4E12-48AA-9C39-F476262C0504}"/>
    <cellStyle name="Normal 8 2 2 2 3 4 3" xfId="6088" xr:uid="{00000000-0005-0000-0000-00002A1C0000}"/>
    <cellStyle name="Normal 8 2 2 2 3 4 3 2" xfId="14535" xr:uid="{50AACBA5-1ED2-4C7D-AE77-F503D1CB0EF5}"/>
    <cellStyle name="Normal 8 2 2 2 3 4 4" xfId="10320" xr:uid="{3BF3DB99-5FF6-4F21-B104-94709F07E7C3}"/>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3" xr:uid="{91A1A3E9-F42A-42B5-AD32-C6CB475F88CC}"/>
    <cellStyle name="Normal 8 2 2 2 3 5 2 3" xfId="12878" xr:uid="{62575B56-691D-4326-AC3D-1A23AFC4D976}"/>
    <cellStyle name="Normal 8 2 2 2 3 5 3" xfId="6501" xr:uid="{00000000-0005-0000-0000-00002E1C0000}"/>
    <cellStyle name="Normal 8 2 2 2 3 5 3 2" xfId="14948" xr:uid="{A2D6C7B0-F127-4A7D-8922-C40A6073ABCB}"/>
    <cellStyle name="Normal 8 2 2 2 3 5 4" xfId="10733" xr:uid="{2CF9E4CE-FD70-4E3C-A75A-426AA5086EA1}"/>
    <cellStyle name="Normal 8 2 2 2 3 6" xfId="2631" xr:uid="{00000000-0005-0000-0000-00002F1C0000}"/>
    <cellStyle name="Normal 8 2 2 2 3 6 2" xfId="6914" xr:uid="{00000000-0005-0000-0000-0000301C0000}"/>
    <cellStyle name="Normal 8 2 2 2 3 6 2 2" xfId="15361" xr:uid="{102DA593-6FDC-48ED-B4DB-B679892F0217}"/>
    <cellStyle name="Normal 8 2 2 2 3 6 3" xfId="11146" xr:uid="{46BF40C4-2956-419F-A2F7-7187A60A4340}"/>
    <cellStyle name="Normal 8 2 2 2 3 7" xfId="4849" xr:uid="{00000000-0005-0000-0000-0000311C0000}"/>
    <cellStyle name="Normal 8 2 2 2 3 7 2" xfId="13296" xr:uid="{811BC719-1492-423E-96A9-FE86DB3E8C00}"/>
    <cellStyle name="Normal 8 2 2 2 3 8" xfId="9081" xr:uid="{8606B971-4921-43B3-983A-74B6C4B7F886}"/>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1" xr:uid="{A27A4A38-8B34-4A6C-A41B-AA12510DEF04}"/>
    <cellStyle name="Normal 8 2 2 2 4 2 3" xfId="11636" xr:uid="{C8D896C3-D8CD-436E-B61F-DCB0D1EDE692}"/>
    <cellStyle name="Normal 8 2 2 2 4 3" xfId="5259" xr:uid="{00000000-0005-0000-0000-0000351C0000}"/>
    <cellStyle name="Normal 8 2 2 2 4 3 2" xfId="13706" xr:uid="{C0EFE53D-A6C1-4920-94C9-53C17FF0865C}"/>
    <cellStyle name="Normal 8 2 2 2 4 4" xfId="9491" xr:uid="{921C6490-6CB2-4234-AB99-FE40278DC5F5}"/>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4" xr:uid="{6504A6D0-0D1D-4C9E-A6A3-292A308DFD5D}"/>
    <cellStyle name="Normal 8 2 2 2 5 2 3" xfId="12049" xr:uid="{065F6141-7C7E-4433-87D6-0E5BAE3DC252}"/>
    <cellStyle name="Normal 8 2 2 2 5 3" xfId="5672" xr:uid="{00000000-0005-0000-0000-0000391C0000}"/>
    <cellStyle name="Normal 8 2 2 2 5 3 2" xfId="14119" xr:uid="{D9EEF9D9-89B1-44BA-8A38-89B89709579A}"/>
    <cellStyle name="Normal 8 2 2 2 5 4" xfId="9904" xr:uid="{E78C2E5C-A7C4-4E75-B593-0FEE9A650188}"/>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77" xr:uid="{897F5C04-1399-43AD-938A-4E7DDF3624B7}"/>
    <cellStyle name="Normal 8 2 2 2 6 2 3" xfId="12462" xr:uid="{C554D085-2D6F-4C99-9B53-CF3EE03A8396}"/>
    <cellStyle name="Normal 8 2 2 2 6 3" xfId="6085" xr:uid="{00000000-0005-0000-0000-00003D1C0000}"/>
    <cellStyle name="Normal 8 2 2 2 6 3 2" xfId="14532" xr:uid="{7A0D660E-B868-418D-9C5D-70C086F0A4CB}"/>
    <cellStyle name="Normal 8 2 2 2 6 4" xfId="10317" xr:uid="{890E1EF8-C4C0-4CC6-BC3C-32109108780C}"/>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0" xr:uid="{E8629224-D1DC-410F-AA2F-83B29692BF07}"/>
    <cellStyle name="Normal 8 2 2 2 7 2 3" xfId="12875" xr:uid="{17CC5360-0400-44A7-8816-986CC03CE375}"/>
    <cellStyle name="Normal 8 2 2 2 7 3" xfId="6498" xr:uid="{00000000-0005-0000-0000-0000411C0000}"/>
    <cellStyle name="Normal 8 2 2 2 7 3 2" xfId="14945" xr:uid="{C4E41670-A99E-4C75-B930-0EFB40B04E47}"/>
    <cellStyle name="Normal 8 2 2 2 7 4" xfId="10730" xr:uid="{17A26A75-F2DE-4E7F-8AE7-617B13BA94BB}"/>
    <cellStyle name="Normal 8 2 2 2 8" xfId="2628" xr:uid="{00000000-0005-0000-0000-0000421C0000}"/>
    <cellStyle name="Normal 8 2 2 2 8 2" xfId="6911" xr:uid="{00000000-0005-0000-0000-0000431C0000}"/>
    <cellStyle name="Normal 8 2 2 2 8 2 2" xfId="15358" xr:uid="{4720B396-3B23-466D-97FD-6F8464C62679}"/>
    <cellStyle name="Normal 8 2 2 2 8 3" xfId="11143" xr:uid="{9BEEE340-C5B2-4E40-9736-0FC2BBB7389C}"/>
    <cellStyle name="Normal 8 2 2 2 9" xfId="4846" xr:uid="{00000000-0005-0000-0000-0000441C0000}"/>
    <cellStyle name="Normal 8 2 2 2 9 2" xfId="13293" xr:uid="{323B3F49-AD41-497B-A8B0-F7FBD627FB06}"/>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6" xr:uid="{6C322101-C61A-4504-B1F5-E8E5AC5AF36A}"/>
    <cellStyle name="Normal 8 2 2 3 2 2 2 3" xfId="11641" xr:uid="{91CBA537-6F4D-42ED-BE36-47D49C25A64A}"/>
    <cellStyle name="Normal 8 2 2 3 2 2 3" xfId="5264" xr:uid="{00000000-0005-0000-0000-00004A1C0000}"/>
    <cellStyle name="Normal 8 2 2 3 2 2 3 2" xfId="13711" xr:uid="{C5C7566C-D216-4C9E-8B3E-D873AB0E8BD3}"/>
    <cellStyle name="Normal 8 2 2 3 2 2 4" xfId="9496" xr:uid="{9DB85BE0-93F6-4375-9D10-2CA444F5DC85}"/>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69" xr:uid="{036310A9-616E-4D10-B7CF-31645BFFEC45}"/>
    <cellStyle name="Normal 8 2 2 3 2 3 2 3" xfId="12054" xr:uid="{F1FBD86A-FFF8-4D7A-B8BE-DC1BBCA008E2}"/>
    <cellStyle name="Normal 8 2 2 3 2 3 3" xfId="5677" xr:uid="{00000000-0005-0000-0000-00004E1C0000}"/>
    <cellStyle name="Normal 8 2 2 3 2 3 3 2" xfId="14124" xr:uid="{ECB3DA62-9772-4CF4-84EF-AA185358D4A6}"/>
    <cellStyle name="Normal 8 2 2 3 2 3 4" xfId="9909" xr:uid="{E4D9A3D4-8A1F-41BE-B460-C4A342CECF15}"/>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2" xr:uid="{DA6D54B7-0B01-44E0-AC74-F6C20D7F38E5}"/>
    <cellStyle name="Normal 8 2 2 3 2 4 2 3" xfId="12467" xr:uid="{0F08DC8B-755F-40AA-994D-E3B52EF89AE0}"/>
    <cellStyle name="Normal 8 2 2 3 2 4 3" xfId="6090" xr:uid="{00000000-0005-0000-0000-0000521C0000}"/>
    <cellStyle name="Normal 8 2 2 3 2 4 3 2" xfId="14537" xr:uid="{67C7344B-F4B2-4EB5-9392-322E79DCFCDB}"/>
    <cellStyle name="Normal 8 2 2 3 2 4 4" xfId="10322" xr:uid="{60DBADA3-61E7-49A8-ADE6-5CD8CFD6C5E5}"/>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5" xr:uid="{8DE7B4D6-399D-4D50-BBB8-66E76D33D501}"/>
    <cellStyle name="Normal 8 2 2 3 2 5 2 3" xfId="12880" xr:uid="{81D5B600-878B-41EB-872F-D1567BC1683B}"/>
    <cellStyle name="Normal 8 2 2 3 2 5 3" xfId="6503" xr:uid="{00000000-0005-0000-0000-0000561C0000}"/>
    <cellStyle name="Normal 8 2 2 3 2 5 3 2" xfId="14950" xr:uid="{51D9774F-9BDC-4E8C-873E-B0CAB14DD4AD}"/>
    <cellStyle name="Normal 8 2 2 3 2 5 4" xfId="10735" xr:uid="{7C249430-D4D9-4635-996A-4054D549BAB9}"/>
    <cellStyle name="Normal 8 2 2 3 2 6" xfId="2633" xr:uid="{00000000-0005-0000-0000-0000571C0000}"/>
    <cellStyle name="Normal 8 2 2 3 2 6 2" xfId="6916" xr:uid="{00000000-0005-0000-0000-0000581C0000}"/>
    <cellStyle name="Normal 8 2 2 3 2 6 2 2" xfId="15363" xr:uid="{E150E481-989C-4051-8F93-86DBB2C458D6}"/>
    <cellStyle name="Normal 8 2 2 3 2 6 3" xfId="11148" xr:uid="{DEFCB8B0-9A25-49E6-BE12-D5AF4F01BE46}"/>
    <cellStyle name="Normal 8 2 2 3 2 7" xfId="4851" xr:uid="{00000000-0005-0000-0000-0000591C0000}"/>
    <cellStyle name="Normal 8 2 2 3 2 7 2" xfId="13298" xr:uid="{8A297963-363E-47D5-918A-4717129BB41E}"/>
    <cellStyle name="Normal 8 2 2 3 2 8" xfId="9083" xr:uid="{A3E11882-9798-41EB-BB29-25A41C8ACF8E}"/>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5" xr:uid="{CE396C59-C668-4336-8B2A-8650D0AD5347}"/>
    <cellStyle name="Normal 8 2 2 3 3 2 3" xfId="11640" xr:uid="{D620BF4A-139A-4E4D-85A7-7AEAA3C52EC4}"/>
    <cellStyle name="Normal 8 2 2 3 3 3" xfId="5263" xr:uid="{00000000-0005-0000-0000-00005D1C0000}"/>
    <cellStyle name="Normal 8 2 2 3 3 3 2" xfId="13710" xr:uid="{64979648-89DF-4EF2-90C2-F672CF6135A4}"/>
    <cellStyle name="Normal 8 2 2 3 3 4" xfId="9495" xr:uid="{CAF80176-7FDB-4E02-A993-A78952830260}"/>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68" xr:uid="{3ED6C802-CC60-411D-8E97-114C4015400F}"/>
    <cellStyle name="Normal 8 2 2 3 4 2 3" xfId="12053" xr:uid="{A44A87B7-0ED4-456E-A84C-45120A7135B9}"/>
    <cellStyle name="Normal 8 2 2 3 4 3" xfId="5676" xr:uid="{00000000-0005-0000-0000-0000611C0000}"/>
    <cellStyle name="Normal 8 2 2 3 4 3 2" xfId="14123" xr:uid="{24E599DB-4FF2-40F2-82DC-CA49B3F40D9B}"/>
    <cellStyle name="Normal 8 2 2 3 4 4" xfId="9908" xr:uid="{EAC7A354-AFF1-4D89-9395-A82960B8FBB7}"/>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1" xr:uid="{44AA15FB-B8F9-4E0A-80A5-8357FAB2893D}"/>
    <cellStyle name="Normal 8 2 2 3 5 2 3" xfId="12466" xr:uid="{D838969C-8A59-4E03-B405-DBA03D0A0E4A}"/>
    <cellStyle name="Normal 8 2 2 3 5 3" xfId="6089" xr:uid="{00000000-0005-0000-0000-0000651C0000}"/>
    <cellStyle name="Normal 8 2 2 3 5 3 2" xfId="14536" xr:uid="{A104176C-5002-4E7C-9A14-2512A2251328}"/>
    <cellStyle name="Normal 8 2 2 3 5 4" xfId="10321" xr:uid="{FDB63F45-44F0-4C63-9223-6889000BEE89}"/>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4" xr:uid="{D060A74D-A00E-44C1-A5F9-16D26948242A}"/>
    <cellStyle name="Normal 8 2 2 3 6 2 3" xfId="12879" xr:uid="{2DE25DA2-F3A0-4180-82E5-FFE608EC6B38}"/>
    <cellStyle name="Normal 8 2 2 3 6 3" xfId="6502" xr:uid="{00000000-0005-0000-0000-0000691C0000}"/>
    <cellStyle name="Normal 8 2 2 3 6 3 2" xfId="14949" xr:uid="{6217D687-979F-48D8-9B61-44C67F06B6EB}"/>
    <cellStyle name="Normal 8 2 2 3 6 4" xfId="10734" xr:uid="{A272DD01-B15D-44DE-919A-78F7326AF91D}"/>
    <cellStyle name="Normal 8 2 2 3 7" xfId="2632" xr:uid="{00000000-0005-0000-0000-00006A1C0000}"/>
    <cellStyle name="Normal 8 2 2 3 7 2" xfId="6915" xr:uid="{00000000-0005-0000-0000-00006B1C0000}"/>
    <cellStyle name="Normal 8 2 2 3 7 2 2" xfId="15362" xr:uid="{0CBFB949-D0B7-4A24-B911-E2EC94624FD5}"/>
    <cellStyle name="Normal 8 2 2 3 7 3" xfId="11147" xr:uid="{AA71F8CB-A1F6-423E-8F29-43457A52C0B8}"/>
    <cellStyle name="Normal 8 2 2 3 8" xfId="4850" xr:uid="{00000000-0005-0000-0000-00006C1C0000}"/>
    <cellStyle name="Normal 8 2 2 3 8 2" xfId="13297" xr:uid="{0B5CACD7-190A-481C-910F-5CF8AA8F3B4E}"/>
    <cellStyle name="Normal 8 2 2 3 9" xfId="9082" xr:uid="{7EF3EEDF-3F10-4EC0-8F7C-778F27D42289}"/>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57" xr:uid="{D2767754-D817-45C2-ACF3-69CD09F66243}"/>
    <cellStyle name="Normal 8 2 2 4 2 2 3" xfId="11642" xr:uid="{0FC6A142-358E-4173-888F-F96146DA70BF}"/>
    <cellStyle name="Normal 8 2 2 4 2 3" xfId="5265" xr:uid="{00000000-0005-0000-0000-0000711C0000}"/>
    <cellStyle name="Normal 8 2 2 4 2 3 2" xfId="13712" xr:uid="{69305E74-8A4F-4FF5-9B1A-E236A318293A}"/>
    <cellStyle name="Normal 8 2 2 4 2 4" xfId="9497" xr:uid="{C7D1EDA9-B66B-43B2-A0C0-F2E6E5C4FC76}"/>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0" xr:uid="{6AB88865-56CA-4DCC-AE6F-7429CB251918}"/>
    <cellStyle name="Normal 8 2 2 4 3 2 3" xfId="12055" xr:uid="{CC9F8745-8DB5-4173-B607-F9CB17046D14}"/>
    <cellStyle name="Normal 8 2 2 4 3 3" xfId="5678" xr:uid="{00000000-0005-0000-0000-0000751C0000}"/>
    <cellStyle name="Normal 8 2 2 4 3 3 2" xfId="14125" xr:uid="{5E582B37-0F84-4445-B85A-B38CDCCFDF5A}"/>
    <cellStyle name="Normal 8 2 2 4 3 4" xfId="9910" xr:uid="{0947506D-E516-471B-9C52-45C4BAA44ACC}"/>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3" xr:uid="{8D59C44A-A467-499E-9F73-1825D0594812}"/>
    <cellStyle name="Normal 8 2 2 4 4 2 3" xfId="12468" xr:uid="{23C00DB1-B419-4D56-9A40-09192B8607EE}"/>
    <cellStyle name="Normal 8 2 2 4 4 3" xfId="6091" xr:uid="{00000000-0005-0000-0000-0000791C0000}"/>
    <cellStyle name="Normal 8 2 2 4 4 3 2" xfId="14538" xr:uid="{5F97973E-D413-4A76-9C97-D75250D3F7BA}"/>
    <cellStyle name="Normal 8 2 2 4 4 4" xfId="10323" xr:uid="{7187422C-2DCD-4834-855D-4FE48B4B0994}"/>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6" xr:uid="{F2A3A091-4D1B-4787-BA0A-5E241F52163C}"/>
    <cellStyle name="Normal 8 2 2 4 5 2 3" xfId="12881" xr:uid="{3F508B14-8BFC-4A44-9289-AD873D7F8C30}"/>
    <cellStyle name="Normal 8 2 2 4 5 3" xfId="6504" xr:uid="{00000000-0005-0000-0000-00007D1C0000}"/>
    <cellStyle name="Normal 8 2 2 4 5 3 2" xfId="14951" xr:uid="{2C684B82-7C61-4F9C-9CDD-E685923599CE}"/>
    <cellStyle name="Normal 8 2 2 4 5 4" xfId="10736" xr:uid="{168F2E0D-3562-45A3-90CF-6C10AABCD811}"/>
    <cellStyle name="Normal 8 2 2 4 6" xfId="2634" xr:uid="{00000000-0005-0000-0000-00007E1C0000}"/>
    <cellStyle name="Normal 8 2 2 4 6 2" xfId="6917" xr:uid="{00000000-0005-0000-0000-00007F1C0000}"/>
    <cellStyle name="Normal 8 2 2 4 6 2 2" xfId="15364" xr:uid="{F01C8DDD-FEF9-440C-9FB0-91D65B7D0890}"/>
    <cellStyle name="Normal 8 2 2 4 6 3" xfId="11149" xr:uid="{1ACF4E59-3BFF-4C2C-9B28-5C9CE4329F21}"/>
    <cellStyle name="Normal 8 2 2 4 7" xfId="4852" xr:uid="{00000000-0005-0000-0000-0000801C0000}"/>
    <cellStyle name="Normal 8 2 2 4 7 2" xfId="13299" xr:uid="{69990C20-C7E7-4512-BD7F-F69DE15ABF8E}"/>
    <cellStyle name="Normal 8 2 2 4 8" xfId="9084" xr:uid="{FAFD29ED-F3FA-44FE-B8F3-B19215D45EFA}"/>
    <cellStyle name="Normal 8 2 2 5" xfId="947" xr:uid="{00000000-0005-0000-0000-0000811C0000}"/>
    <cellStyle name="Normal 8 2 2 5 2" xfId="3181" xr:uid="{00000000-0005-0000-0000-0000821C0000}"/>
    <cellStyle name="Normal 8 2 2 5 2 2" xfId="7403" xr:uid="{00000000-0005-0000-0000-0000831C0000}"/>
    <cellStyle name="Normal 8 2 2 5 2 2 2" xfId="15850" xr:uid="{ACDF647E-1C0C-4437-B26A-7E2848EBA52B}"/>
    <cellStyle name="Normal 8 2 2 5 2 3" xfId="11635" xr:uid="{D01F6943-C318-46C1-A051-051C1DC4D763}"/>
    <cellStyle name="Normal 8 2 2 5 3" xfId="5258" xr:uid="{00000000-0005-0000-0000-0000841C0000}"/>
    <cellStyle name="Normal 8 2 2 5 3 2" xfId="13705" xr:uid="{8BBED0CF-C173-4437-BD5A-8FD0C1348494}"/>
    <cellStyle name="Normal 8 2 2 5 4" xfId="9490" xr:uid="{D2A8FC83-7512-40D4-80F7-4741ACCA5CC2}"/>
    <cellStyle name="Normal 8 2 2 6" xfId="1364" xr:uid="{00000000-0005-0000-0000-0000851C0000}"/>
    <cellStyle name="Normal 8 2 2 6 2" xfId="3594" xr:uid="{00000000-0005-0000-0000-0000861C0000}"/>
    <cellStyle name="Normal 8 2 2 6 2 2" xfId="7816" xr:uid="{00000000-0005-0000-0000-0000871C0000}"/>
    <cellStyle name="Normal 8 2 2 6 2 2 2" xfId="16263" xr:uid="{E3494B86-F81F-4D4A-AA1B-38FA31F81726}"/>
    <cellStyle name="Normal 8 2 2 6 2 3" xfId="12048" xr:uid="{13FBC14A-DEBA-433B-AEF4-8A79EEE8839B}"/>
    <cellStyle name="Normal 8 2 2 6 3" xfId="5671" xr:uid="{00000000-0005-0000-0000-0000881C0000}"/>
    <cellStyle name="Normal 8 2 2 6 3 2" xfId="14118" xr:uid="{93D61098-B596-4925-8AB0-0F1318902327}"/>
    <cellStyle name="Normal 8 2 2 6 4" xfId="9903" xr:uid="{70AF1589-8209-4EAA-ADF9-31F5EDC440E8}"/>
    <cellStyle name="Normal 8 2 2 7" xfId="1777" xr:uid="{00000000-0005-0000-0000-0000891C0000}"/>
    <cellStyle name="Normal 8 2 2 7 2" xfId="4007" xr:uid="{00000000-0005-0000-0000-00008A1C0000}"/>
    <cellStyle name="Normal 8 2 2 7 2 2" xfId="8229" xr:uid="{00000000-0005-0000-0000-00008B1C0000}"/>
    <cellStyle name="Normal 8 2 2 7 2 2 2" xfId="16676" xr:uid="{6FE5E539-2492-4C5F-81FE-8427C0C8526D}"/>
    <cellStyle name="Normal 8 2 2 7 2 3" xfId="12461" xr:uid="{5BE883C7-2984-4427-BFFD-E59F5B3BCA21}"/>
    <cellStyle name="Normal 8 2 2 7 3" xfId="6084" xr:uid="{00000000-0005-0000-0000-00008C1C0000}"/>
    <cellStyle name="Normal 8 2 2 7 3 2" xfId="14531" xr:uid="{80F8DB21-11C6-4256-A375-90FF5EAE1464}"/>
    <cellStyle name="Normal 8 2 2 7 4" xfId="10316" xr:uid="{60E335D4-3F18-4909-9D1E-A3E319311BFC}"/>
    <cellStyle name="Normal 8 2 2 8" xfId="2191" xr:uid="{00000000-0005-0000-0000-00008D1C0000}"/>
    <cellStyle name="Normal 8 2 2 8 2" xfId="4420" xr:uid="{00000000-0005-0000-0000-00008E1C0000}"/>
    <cellStyle name="Normal 8 2 2 8 2 2" xfId="8642" xr:uid="{00000000-0005-0000-0000-00008F1C0000}"/>
    <cellStyle name="Normal 8 2 2 8 2 2 2" xfId="17089" xr:uid="{A15807DE-EC9F-4FB3-9B1E-795EB6DF0590}"/>
    <cellStyle name="Normal 8 2 2 8 2 3" xfId="12874" xr:uid="{9B9D35FA-EBE0-47DA-BB6C-398690600D5A}"/>
    <cellStyle name="Normal 8 2 2 8 3" xfId="6497" xr:uid="{00000000-0005-0000-0000-0000901C0000}"/>
    <cellStyle name="Normal 8 2 2 8 3 2" xfId="14944" xr:uid="{1545D461-0965-4ED7-9522-73E7DAE590D8}"/>
    <cellStyle name="Normal 8 2 2 8 4" xfId="10729" xr:uid="{A9BC6A64-F15C-47DE-ADEC-4FE6DB01710A}"/>
    <cellStyle name="Normal 8 2 2 9" xfId="2627" xr:uid="{00000000-0005-0000-0000-0000911C0000}"/>
    <cellStyle name="Normal 8 2 2 9 2" xfId="6910" xr:uid="{00000000-0005-0000-0000-0000921C0000}"/>
    <cellStyle name="Normal 8 2 2 9 2 2" xfId="15357" xr:uid="{56501CB6-8FF4-46AC-BF4E-B369EFC6EE51}"/>
    <cellStyle name="Normal 8 2 2 9 3" xfId="11142" xr:uid="{EF77674B-A038-4311-A860-D8DE15BE8A9B}"/>
    <cellStyle name="Normal 8 2 3" xfId="488" xr:uid="{00000000-0005-0000-0000-0000931C0000}"/>
    <cellStyle name="Normal 8 2 3 10" xfId="9085" xr:uid="{5BC8AB99-5CA1-4ED3-9FDE-9815AC90E2C5}"/>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0" xr:uid="{6F8D02FF-0707-4834-8F28-94B382949903}"/>
    <cellStyle name="Normal 8 2 3 2 2 2 2 3" xfId="11645" xr:uid="{E07FF54F-2F0A-4FE6-BDF0-A71AEE4E990F}"/>
    <cellStyle name="Normal 8 2 3 2 2 2 3" xfId="5268" xr:uid="{00000000-0005-0000-0000-0000991C0000}"/>
    <cellStyle name="Normal 8 2 3 2 2 2 3 2" xfId="13715" xr:uid="{6EFD72F2-2E64-4282-9519-E4D071023C74}"/>
    <cellStyle name="Normal 8 2 3 2 2 2 4" xfId="9500" xr:uid="{68BF74F6-D65B-4470-8D31-4CCE5652E067}"/>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3" xr:uid="{61E73317-772E-492F-BF76-FD243D059B81}"/>
    <cellStyle name="Normal 8 2 3 2 2 3 2 3" xfId="12058" xr:uid="{F4D72B40-6B19-4A72-BD03-BED655C3F7BD}"/>
    <cellStyle name="Normal 8 2 3 2 2 3 3" xfId="5681" xr:uid="{00000000-0005-0000-0000-00009D1C0000}"/>
    <cellStyle name="Normal 8 2 3 2 2 3 3 2" xfId="14128" xr:uid="{9995CAE3-4BBB-44B4-BEDC-DA49462222EB}"/>
    <cellStyle name="Normal 8 2 3 2 2 3 4" xfId="9913" xr:uid="{DFD0440E-0AFA-41D9-A129-A215F3092CF1}"/>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6" xr:uid="{6BAE669C-C8D0-49BC-9CBF-EB874C3A292E}"/>
    <cellStyle name="Normal 8 2 3 2 2 4 2 3" xfId="12471" xr:uid="{439A1989-1FF6-487D-AFA6-12CF9237922B}"/>
    <cellStyle name="Normal 8 2 3 2 2 4 3" xfId="6094" xr:uid="{00000000-0005-0000-0000-0000A11C0000}"/>
    <cellStyle name="Normal 8 2 3 2 2 4 3 2" xfId="14541" xr:uid="{972D3BE5-022E-4247-A464-CD4AB6FFA843}"/>
    <cellStyle name="Normal 8 2 3 2 2 4 4" xfId="10326" xr:uid="{1C1BD161-0A98-4B04-B8F6-244CE7FA09CE}"/>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099" xr:uid="{C0911893-3EDE-4728-825B-EF8E4B517139}"/>
    <cellStyle name="Normal 8 2 3 2 2 5 2 3" xfId="12884" xr:uid="{71F71B8B-7F60-411E-9EE9-06E754D9146A}"/>
    <cellStyle name="Normal 8 2 3 2 2 5 3" xfId="6507" xr:uid="{00000000-0005-0000-0000-0000A51C0000}"/>
    <cellStyle name="Normal 8 2 3 2 2 5 3 2" xfId="14954" xr:uid="{4798E83C-720C-40B1-BB8D-040F062AF359}"/>
    <cellStyle name="Normal 8 2 3 2 2 5 4" xfId="10739" xr:uid="{4264880E-6C67-427C-8E0A-D582DF9CEA2B}"/>
    <cellStyle name="Normal 8 2 3 2 2 6" xfId="2637" xr:uid="{00000000-0005-0000-0000-0000A61C0000}"/>
    <cellStyle name="Normal 8 2 3 2 2 6 2" xfId="6920" xr:uid="{00000000-0005-0000-0000-0000A71C0000}"/>
    <cellStyle name="Normal 8 2 3 2 2 6 2 2" xfId="15367" xr:uid="{23EDFB75-03EA-4299-B4A5-9F50B998FF45}"/>
    <cellStyle name="Normal 8 2 3 2 2 6 3" xfId="11152" xr:uid="{874D0E31-46B3-4054-818D-72A51F8D899C}"/>
    <cellStyle name="Normal 8 2 3 2 2 7" xfId="4855" xr:uid="{00000000-0005-0000-0000-0000A81C0000}"/>
    <cellStyle name="Normal 8 2 3 2 2 7 2" xfId="13302" xr:uid="{421CD858-9C70-4A9C-9382-389CFF3B45D2}"/>
    <cellStyle name="Normal 8 2 3 2 2 8" xfId="9087" xr:uid="{8918D457-CCA6-4F9F-9A5E-38BBC117AA31}"/>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59" xr:uid="{E8F3B9C1-83B7-455D-BFC5-BDC228540CDE}"/>
    <cellStyle name="Normal 8 2 3 2 3 2 3" xfId="11644" xr:uid="{CE84D935-52B9-4DDF-8D64-951F42941BC4}"/>
    <cellStyle name="Normal 8 2 3 2 3 3" xfId="5267" xr:uid="{00000000-0005-0000-0000-0000AC1C0000}"/>
    <cellStyle name="Normal 8 2 3 2 3 3 2" xfId="13714" xr:uid="{BDD5D186-C6EC-4B3B-AE27-6DA8BC482937}"/>
    <cellStyle name="Normal 8 2 3 2 3 4" xfId="9499" xr:uid="{9D997390-7CA9-483E-9A31-C7B1EC96A633}"/>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2" xr:uid="{DA532AAF-FB7A-4EB3-A12B-0AAD4C8ADE13}"/>
    <cellStyle name="Normal 8 2 3 2 4 2 3" xfId="12057" xr:uid="{9DF8263B-5B66-4F1E-AE1A-584E7C24229A}"/>
    <cellStyle name="Normal 8 2 3 2 4 3" xfId="5680" xr:uid="{00000000-0005-0000-0000-0000B01C0000}"/>
    <cellStyle name="Normal 8 2 3 2 4 3 2" xfId="14127" xr:uid="{B1D1BBA2-56A3-4D1A-9965-182C7DA19DD0}"/>
    <cellStyle name="Normal 8 2 3 2 4 4" xfId="9912" xr:uid="{8D6BE32C-2B8D-4CD6-8A1E-0090D8F6F172}"/>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5" xr:uid="{9520DFF4-F0CD-4181-9C44-17A6D89BB1A0}"/>
    <cellStyle name="Normal 8 2 3 2 5 2 3" xfId="12470" xr:uid="{823B5DFA-9B89-4E4C-A5C0-CF38CD19280D}"/>
    <cellStyle name="Normal 8 2 3 2 5 3" xfId="6093" xr:uid="{00000000-0005-0000-0000-0000B41C0000}"/>
    <cellStyle name="Normal 8 2 3 2 5 3 2" xfId="14540" xr:uid="{8B298B67-EBAE-4810-809B-DB4645833026}"/>
    <cellStyle name="Normal 8 2 3 2 5 4" xfId="10325" xr:uid="{CE1CC857-3A87-479A-BA10-17D65D94F10F}"/>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098" xr:uid="{D0B85F9D-67E9-4D6A-8A7C-E6382A173EDE}"/>
    <cellStyle name="Normal 8 2 3 2 6 2 3" xfId="12883" xr:uid="{D9CC20FE-33B6-4275-AABF-3BAB87486845}"/>
    <cellStyle name="Normal 8 2 3 2 6 3" xfId="6506" xr:uid="{00000000-0005-0000-0000-0000B81C0000}"/>
    <cellStyle name="Normal 8 2 3 2 6 3 2" xfId="14953" xr:uid="{CAAFB24A-22AE-400E-A01D-B035AED622E9}"/>
    <cellStyle name="Normal 8 2 3 2 6 4" xfId="10738" xr:uid="{B6ED4CAE-5177-4A6C-9344-496240E561F8}"/>
    <cellStyle name="Normal 8 2 3 2 7" xfId="2636" xr:uid="{00000000-0005-0000-0000-0000B91C0000}"/>
    <cellStyle name="Normal 8 2 3 2 7 2" xfId="6919" xr:uid="{00000000-0005-0000-0000-0000BA1C0000}"/>
    <cellStyle name="Normal 8 2 3 2 7 2 2" xfId="15366" xr:uid="{AFB5DAB4-CE00-4286-88AD-22C5254B9BE5}"/>
    <cellStyle name="Normal 8 2 3 2 7 3" xfId="11151" xr:uid="{C3AD541D-9E42-46AD-A865-6ADBB4B090F2}"/>
    <cellStyle name="Normal 8 2 3 2 8" xfId="4854" xr:uid="{00000000-0005-0000-0000-0000BB1C0000}"/>
    <cellStyle name="Normal 8 2 3 2 8 2" xfId="13301" xr:uid="{09E4DE1C-3854-4B0E-8FAE-BE8EDC80C6D2}"/>
    <cellStyle name="Normal 8 2 3 2 9" xfId="9086" xr:uid="{5ED8D148-F4DA-44E5-AAC0-8B4A902CBA1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1" xr:uid="{D45A890A-43AF-4D35-AE09-092E8E357C6C}"/>
    <cellStyle name="Normal 8 2 3 3 2 2 3" xfId="11646" xr:uid="{566D6679-D811-4CC8-921A-0D2E17AD3C8A}"/>
    <cellStyle name="Normal 8 2 3 3 2 3" xfId="5269" xr:uid="{00000000-0005-0000-0000-0000C01C0000}"/>
    <cellStyle name="Normal 8 2 3 3 2 3 2" xfId="13716" xr:uid="{99592226-3374-4F28-9DD3-7308F6C9412B}"/>
    <cellStyle name="Normal 8 2 3 3 2 4" xfId="9501" xr:uid="{C03F5F06-1786-4522-BBD7-2DA807F9CF56}"/>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4" xr:uid="{DED61FE9-8E59-4477-BF65-4DE4CF82A177}"/>
    <cellStyle name="Normal 8 2 3 3 3 2 3" xfId="12059" xr:uid="{499742E9-8914-4FF2-A2AE-75D27D0341E6}"/>
    <cellStyle name="Normal 8 2 3 3 3 3" xfId="5682" xr:uid="{00000000-0005-0000-0000-0000C41C0000}"/>
    <cellStyle name="Normal 8 2 3 3 3 3 2" xfId="14129" xr:uid="{E67C401A-84F0-4C4D-8FDF-CB270F3A38AE}"/>
    <cellStyle name="Normal 8 2 3 3 3 4" xfId="9914" xr:uid="{220ACFC3-A522-4E04-BC71-1B0CB36A42D2}"/>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87" xr:uid="{C63D5F07-47CA-43B6-AFAE-86515B140486}"/>
    <cellStyle name="Normal 8 2 3 3 4 2 3" xfId="12472" xr:uid="{9A86BDC7-F591-4962-9689-31148DDED3FE}"/>
    <cellStyle name="Normal 8 2 3 3 4 3" xfId="6095" xr:uid="{00000000-0005-0000-0000-0000C81C0000}"/>
    <cellStyle name="Normal 8 2 3 3 4 3 2" xfId="14542" xr:uid="{FA9AD3DB-FF95-4832-91C2-961915D297A2}"/>
    <cellStyle name="Normal 8 2 3 3 4 4" xfId="10327" xr:uid="{08A22750-18CF-4ECE-8CCD-BF677A0CC461}"/>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0" xr:uid="{C703071D-0458-4352-96F8-87B3DCA88FA9}"/>
    <cellStyle name="Normal 8 2 3 3 5 2 3" xfId="12885" xr:uid="{9C876572-E858-4825-A809-4BAC10E4F626}"/>
    <cellStyle name="Normal 8 2 3 3 5 3" xfId="6508" xr:uid="{00000000-0005-0000-0000-0000CC1C0000}"/>
    <cellStyle name="Normal 8 2 3 3 5 3 2" xfId="14955" xr:uid="{4AE3A338-4D62-4B09-BAD2-A7CF46471412}"/>
    <cellStyle name="Normal 8 2 3 3 5 4" xfId="10740" xr:uid="{5D372C24-2FD9-49B1-962C-C1ED1224F95E}"/>
    <cellStyle name="Normal 8 2 3 3 6" xfId="2638" xr:uid="{00000000-0005-0000-0000-0000CD1C0000}"/>
    <cellStyle name="Normal 8 2 3 3 6 2" xfId="6921" xr:uid="{00000000-0005-0000-0000-0000CE1C0000}"/>
    <cellStyle name="Normal 8 2 3 3 6 2 2" xfId="15368" xr:uid="{9ACBC7B8-DB3C-4722-9B31-1B07FE93AA8E}"/>
    <cellStyle name="Normal 8 2 3 3 6 3" xfId="11153" xr:uid="{615DAD07-2277-418B-9818-7C0F0263CED2}"/>
    <cellStyle name="Normal 8 2 3 3 7" xfId="4856" xr:uid="{00000000-0005-0000-0000-0000CF1C0000}"/>
    <cellStyle name="Normal 8 2 3 3 7 2" xfId="13303" xr:uid="{D0EBD1A6-F97A-4F63-8D75-9153D1A27F13}"/>
    <cellStyle name="Normal 8 2 3 3 8" xfId="9088" xr:uid="{78F1A96A-39F9-493E-93F7-F67A248E3DD6}"/>
    <cellStyle name="Normal 8 2 3 4" xfId="955" xr:uid="{00000000-0005-0000-0000-0000D01C0000}"/>
    <cellStyle name="Normal 8 2 3 4 2" xfId="3189" xr:uid="{00000000-0005-0000-0000-0000D11C0000}"/>
    <cellStyle name="Normal 8 2 3 4 2 2" xfId="7411" xr:uid="{00000000-0005-0000-0000-0000D21C0000}"/>
    <cellStyle name="Normal 8 2 3 4 2 2 2" xfId="15858" xr:uid="{4BF61AE6-6C20-49AD-A739-50CC703AB4A0}"/>
    <cellStyle name="Normal 8 2 3 4 2 3" xfId="11643" xr:uid="{4A986FD7-AD77-42F6-87C3-5A714B5B6DF8}"/>
    <cellStyle name="Normal 8 2 3 4 3" xfId="5266" xr:uid="{00000000-0005-0000-0000-0000D31C0000}"/>
    <cellStyle name="Normal 8 2 3 4 3 2" xfId="13713" xr:uid="{C63CB5C5-1C4C-4A82-939D-1A64FCB6E5BE}"/>
    <cellStyle name="Normal 8 2 3 4 4" xfId="9498" xr:uid="{28AEB4DF-B20B-4D37-BBBF-F841CBFEC9FD}"/>
    <cellStyle name="Normal 8 2 3 5" xfId="1372" xr:uid="{00000000-0005-0000-0000-0000D41C0000}"/>
    <cellStyle name="Normal 8 2 3 5 2" xfId="3602" xr:uid="{00000000-0005-0000-0000-0000D51C0000}"/>
    <cellStyle name="Normal 8 2 3 5 2 2" xfId="7824" xr:uid="{00000000-0005-0000-0000-0000D61C0000}"/>
    <cellStyle name="Normal 8 2 3 5 2 2 2" xfId="16271" xr:uid="{716649FA-AC34-47CF-851A-7CDED18AF56A}"/>
    <cellStyle name="Normal 8 2 3 5 2 3" xfId="12056" xr:uid="{EA6F4D8E-7B54-42CB-BB4A-F24EB6F3CAD7}"/>
    <cellStyle name="Normal 8 2 3 5 3" xfId="5679" xr:uid="{00000000-0005-0000-0000-0000D71C0000}"/>
    <cellStyle name="Normal 8 2 3 5 3 2" xfId="14126" xr:uid="{168654C3-0C19-4043-B71C-E845C5C47EA4}"/>
    <cellStyle name="Normal 8 2 3 5 4" xfId="9911" xr:uid="{C6F128D6-61E0-4132-AFCA-9DD88CEBB6D4}"/>
    <cellStyle name="Normal 8 2 3 6" xfId="1785" xr:uid="{00000000-0005-0000-0000-0000D81C0000}"/>
    <cellStyle name="Normal 8 2 3 6 2" xfId="4015" xr:uid="{00000000-0005-0000-0000-0000D91C0000}"/>
    <cellStyle name="Normal 8 2 3 6 2 2" xfId="8237" xr:uid="{00000000-0005-0000-0000-0000DA1C0000}"/>
    <cellStyle name="Normal 8 2 3 6 2 2 2" xfId="16684" xr:uid="{524D139C-D685-4FBE-88BA-169D156D24DF}"/>
    <cellStyle name="Normal 8 2 3 6 2 3" xfId="12469" xr:uid="{A8D5B686-05C0-41A6-82B7-EBF547B1BEC7}"/>
    <cellStyle name="Normal 8 2 3 6 3" xfId="6092" xr:uid="{00000000-0005-0000-0000-0000DB1C0000}"/>
    <cellStyle name="Normal 8 2 3 6 3 2" xfId="14539" xr:uid="{F77DC0C9-8B6F-4459-B015-53AA7D88B3CF}"/>
    <cellStyle name="Normal 8 2 3 6 4" xfId="10324" xr:uid="{649D4509-C3B4-4A09-930D-1033CF2235A4}"/>
    <cellStyle name="Normal 8 2 3 7" xfId="2199" xr:uid="{00000000-0005-0000-0000-0000DC1C0000}"/>
    <cellStyle name="Normal 8 2 3 7 2" xfId="4428" xr:uid="{00000000-0005-0000-0000-0000DD1C0000}"/>
    <cellStyle name="Normal 8 2 3 7 2 2" xfId="8650" xr:uid="{00000000-0005-0000-0000-0000DE1C0000}"/>
    <cellStyle name="Normal 8 2 3 7 2 2 2" xfId="17097" xr:uid="{89810B9B-22D7-4D12-8B59-C9AF3E12C2CF}"/>
    <cellStyle name="Normal 8 2 3 7 2 3" xfId="12882" xr:uid="{CDF2552C-E4D7-4F1D-8405-BD1C973651AA}"/>
    <cellStyle name="Normal 8 2 3 7 3" xfId="6505" xr:uid="{00000000-0005-0000-0000-0000DF1C0000}"/>
    <cellStyle name="Normal 8 2 3 7 3 2" xfId="14952" xr:uid="{DCBAD1AF-6BDF-4BD8-B662-FE53808A797F}"/>
    <cellStyle name="Normal 8 2 3 7 4" xfId="10737" xr:uid="{7E7169C3-9248-46CD-8DB7-8B187AAABE21}"/>
    <cellStyle name="Normal 8 2 3 8" xfId="2635" xr:uid="{00000000-0005-0000-0000-0000E01C0000}"/>
    <cellStyle name="Normal 8 2 3 8 2" xfId="6918" xr:uid="{00000000-0005-0000-0000-0000E11C0000}"/>
    <cellStyle name="Normal 8 2 3 8 2 2" xfId="15365" xr:uid="{A3387036-8B12-4D8D-AA6D-65845886B127}"/>
    <cellStyle name="Normal 8 2 3 8 3" xfId="11150" xr:uid="{0E45D93A-674C-4FBC-89D8-E4A6D60B4E42}"/>
    <cellStyle name="Normal 8 2 3 9" xfId="4853" xr:uid="{00000000-0005-0000-0000-0000E21C0000}"/>
    <cellStyle name="Normal 8 2 3 9 2" xfId="13300" xr:uid="{48F05858-7D8A-463B-BDE9-1ADDDDC7917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3" xr:uid="{16470381-E7A8-40F7-AD16-6FB42529D7F2}"/>
    <cellStyle name="Normal 8 2 4 2 2 2 3" xfId="11648" xr:uid="{E442F06C-CC2A-4AFA-9610-447B6132471D}"/>
    <cellStyle name="Normal 8 2 4 2 2 3" xfId="5271" xr:uid="{00000000-0005-0000-0000-0000E81C0000}"/>
    <cellStyle name="Normal 8 2 4 2 2 3 2" xfId="13718" xr:uid="{AE8A85EA-9241-4390-B7BC-0AE708C48540}"/>
    <cellStyle name="Normal 8 2 4 2 2 4" xfId="9503" xr:uid="{CFF0BF58-E75C-413D-BEDB-CC233B07F79C}"/>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6" xr:uid="{8D964B7F-0920-449B-A1B8-0E5057870188}"/>
    <cellStyle name="Normal 8 2 4 2 3 2 3" xfId="12061" xr:uid="{98EA28C6-D47F-4C40-B3D3-7D87E4AD10C3}"/>
    <cellStyle name="Normal 8 2 4 2 3 3" xfId="5684" xr:uid="{00000000-0005-0000-0000-0000EC1C0000}"/>
    <cellStyle name="Normal 8 2 4 2 3 3 2" xfId="14131" xr:uid="{A8F9FDE6-064E-4115-927C-79F7CB6D8955}"/>
    <cellStyle name="Normal 8 2 4 2 3 4" xfId="9916" xr:uid="{B454EEDA-0742-478B-B3A7-8E3C9F83B0B1}"/>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89" xr:uid="{6FFCD14E-AF5A-4A7A-BF79-DAEC364108B5}"/>
    <cellStyle name="Normal 8 2 4 2 4 2 3" xfId="12474" xr:uid="{E507FC62-05A2-484D-BCB9-E4EAEC3CE9DE}"/>
    <cellStyle name="Normal 8 2 4 2 4 3" xfId="6097" xr:uid="{00000000-0005-0000-0000-0000F01C0000}"/>
    <cellStyle name="Normal 8 2 4 2 4 3 2" xfId="14544" xr:uid="{1B787A76-BD32-406A-97C2-85E9B13D7099}"/>
    <cellStyle name="Normal 8 2 4 2 4 4" xfId="10329" xr:uid="{5DF541BE-4EED-42A1-828E-FD1C6E4643E5}"/>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2" xr:uid="{DCDB5FBD-8093-42EE-9546-649A2749E747}"/>
    <cellStyle name="Normal 8 2 4 2 5 2 3" xfId="12887" xr:uid="{26388241-7A0D-4760-95E7-8FF329B8E5A2}"/>
    <cellStyle name="Normal 8 2 4 2 5 3" xfId="6510" xr:uid="{00000000-0005-0000-0000-0000F41C0000}"/>
    <cellStyle name="Normal 8 2 4 2 5 3 2" xfId="14957" xr:uid="{6F820799-CF2D-4FE7-8C53-C671DF6EA546}"/>
    <cellStyle name="Normal 8 2 4 2 5 4" xfId="10742" xr:uid="{61D0F0A5-3404-44FB-B061-656067FB513A}"/>
    <cellStyle name="Normal 8 2 4 2 6" xfId="2640" xr:uid="{00000000-0005-0000-0000-0000F51C0000}"/>
    <cellStyle name="Normal 8 2 4 2 6 2" xfId="6923" xr:uid="{00000000-0005-0000-0000-0000F61C0000}"/>
    <cellStyle name="Normal 8 2 4 2 6 2 2" xfId="15370" xr:uid="{63115557-32E0-462D-9FC8-20F03A30DFFF}"/>
    <cellStyle name="Normal 8 2 4 2 6 3" xfId="11155" xr:uid="{F514782E-7210-4D60-B07B-D72EACB33898}"/>
    <cellStyle name="Normal 8 2 4 2 7" xfId="4858" xr:uid="{00000000-0005-0000-0000-0000F71C0000}"/>
    <cellStyle name="Normal 8 2 4 2 7 2" xfId="13305" xr:uid="{9DCD6CF7-5510-48AF-8D94-06B03027D21C}"/>
    <cellStyle name="Normal 8 2 4 2 8" xfId="9090" xr:uid="{49DCEAB7-C4E4-4A68-BC16-1D5CE296A81F}"/>
    <cellStyle name="Normal 8 2 4 3" xfId="959" xr:uid="{00000000-0005-0000-0000-0000F81C0000}"/>
    <cellStyle name="Normal 8 2 4 3 2" xfId="3193" xr:uid="{00000000-0005-0000-0000-0000F91C0000}"/>
    <cellStyle name="Normal 8 2 4 3 2 2" xfId="7415" xr:uid="{00000000-0005-0000-0000-0000FA1C0000}"/>
    <cellStyle name="Normal 8 2 4 3 2 2 2" xfId="15862" xr:uid="{CA87E9D3-3213-48F3-A77C-261AEF2E9340}"/>
    <cellStyle name="Normal 8 2 4 3 2 3" xfId="11647" xr:uid="{0370BFE4-396E-4A3E-B21A-59E5FB5B03D9}"/>
    <cellStyle name="Normal 8 2 4 3 3" xfId="5270" xr:uid="{00000000-0005-0000-0000-0000FB1C0000}"/>
    <cellStyle name="Normal 8 2 4 3 3 2" xfId="13717" xr:uid="{8320B821-B3A3-48D6-B828-09B3E835DA1B}"/>
    <cellStyle name="Normal 8 2 4 3 4" xfId="9502" xr:uid="{C7AE37D9-0E5E-487B-9A57-F00E456BC278}"/>
    <cellStyle name="Normal 8 2 4 4" xfId="1376" xr:uid="{00000000-0005-0000-0000-0000FC1C0000}"/>
    <cellStyle name="Normal 8 2 4 4 2" xfId="3606" xr:uid="{00000000-0005-0000-0000-0000FD1C0000}"/>
    <cellStyle name="Normal 8 2 4 4 2 2" xfId="7828" xr:uid="{00000000-0005-0000-0000-0000FE1C0000}"/>
    <cellStyle name="Normal 8 2 4 4 2 2 2" xfId="16275" xr:uid="{A8C9DC13-8557-45EC-92D5-2B45BD674DA1}"/>
    <cellStyle name="Normal 8 2 4 4 2 3" xfId="12060" xr:uid="{A9EB35E8-6FAD-4333-B65D-58FD7530422F}"/>
    <cellStyle name="Normal 8 2 4 4 3" xfId="5683" xr:uid="{00000000-0005-0000-0000-0000FF1C0000}"/>
    <cellStyle name="Normal 8 2 4 4 3 2" xfId="14130" xr:uid="{A8AA38E3-056A-4636-A954-599DF14DF696}"/>
    <cellStyle name="Normal 8 2 4 4 4" xfId="9915" xr:uid="{CD8AC82D-9720-48D8-AB3B-DDC45AA0DA1F}"/>
    <cellStyle name="Normal 8 2 4 5" xfId="1789" xr:uid="{00000000-0005-0000-0000-0000001D0000}"/>
    <cellStyle name="Normal 8 2 4 5 2" xfId="4019" xr:uid="{00000000-0005-0000-0000-0000011D0000}"/>
    <cellStyle name="Normal 8 2 4 5 2 2" xfId="8241" xr:uid="{00000000-0005-0000-0000-0000021D0000}"/>
    <cellStyle name="Normal 8 2 4 5 2 2 2" xfId="16688" xr:uid="{684C4F2E-1DA5-4629-A37E-215088BADBA4}"/>
    <cellStyle name="Normal 8 2 4 5 2 3" xfId="12473" xr:uid="{AA8A05EF-F07B-4829-8B48-E724C80993CE}"/>
    <cellStyle name="Normal 8 2 4 5 3" xfId="6096" xr:uid="{00000000-0005-0000-0000-0000031D0000}"/>
    <cellStyle name="Normal 8 2 4 5 3 2" xfId="14543" xr:uid="{D607C2E3-4563-4A25-A4B0-D07376121BFD}"/>
    <cellStyle name="Normal 8 2 4 5 4" xfId="10328" xr:uid="{5B248281-3298-4605-9534-1F9335D1BCEA}"/>
    <cellStyle name="Normal 8 2 4 6" xfId="2203" xr:uid="{00000000-0005-0000-0000-0000041D0000}"/>
    <cellStyle name="Normal 8 2 4 6 2" xfId="4432" xr:uid="{00000000-0005-0000-0000-0000051D0000}"/>
    <cellStyle name="Normal 8 2 4 6 2 2" xfId="8654" xr:uid="{00000000-0005-0000-0000-0000061D0000}"/>
    <cellStyle name="Normal 8 2 4 6 2 2 2" xfId="17101" xr:uid="{7B0B6898-807E-4E4C-82CC-BF4B4F979230}"/>
    <cellStyle name="Normal 8 2 4 6 2 3" xfId="12886" xr:uid="{EE6940D5-0994-4B73-8DF9-1D2DE47F4989}"/>
    <cellStyle name="Normal 8 2 4 6 3" xfId="6509" xr:uid="{00000000-0005-0000-0000-0000071D0000}"/>
    <cellStyle name="Normal 8 2 4 6 3 2" xfId="14956" xr:uid="{4B23B3AF-C5EF-44F5-8F16-B07CE8833927}"/>
    <cellStyle name="Normal 8 2 4 6 4" xfId="10741" xr:uid="{B5A44859-EFD6-4AC1-898E-FA2694F60020}"/>
    <cellStyle name="Normal 8 2 4 7" xfId="2639" xr:uid="{00000000-0005-0000-0000-0000081D0000}"/>
    <cellStyle name="Normal 8 2 4 7 2" xfId="6922" xr:uid="{00000000-0005-0000-0000-0000091D0000}"/>
    <cellStyle name="Normal 8 2 4 7 2 2" xfId="15369" xr:uid="{8E2B0BDD-198E-4334-BD8E-047A45676192}"/>
    <cellStyle name="Normal 8 2 4 7 3" xfId="11154" xr:uid="{A4AAE92E-AFEB-432D-A2F7-E703FA288CF0}"/>
    <cellStyle name="Normal 8 2 4 8" xfId="4857" xr:uid="{00000000-0005-0000-0000-00000A1D0000}"/>
    <cellStyle name="Normal 8 2 4 8 2" xfId="13304" xr:uid="{689574AD-A922-45E0-9054-CEDCBBEA6973}"/>
    <cellStyle name="Normal 8 2 4 9" xfId="9089" xr:uid="{FC0EF649-72CD-4055-811D-6D5B31BA9F4D}"/>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4" xr:uid="{9A91EE90-D0CB-4370-805F-9BC2E8606611}"/>
    <cellStyle name="Normal 8 2 5 2 2 3" xfId="11649" xr:uid="{58FC0A91-80C1-48AF-BCC8-04D7AC4ADCE9}"/>
    <cellStyle name="Normal 8 2 5 2 3" xfId="5272" xr:uid="{00000000-0005-0000-0000-00000F1D0000}"/>
    <cellStyle name="Normal 8 2 5 2 3 2" xfId="13719" xr:uid="{D822113C-2F71-4007-8078-CD6FD2FF38A8}"/>
    <cellStyle name="Normal 8 2 5 2 4" xfId="9504" xr:uid="{04E37B21-3129-4CF3-B49A-697E69670E91}"/>
    <cellStyle name="Normal 8 2 5 3" xfId="1378" xr:uid="{00000000-0005-0000-0000-0000101D0000}"/>
    <cellStyle name="Normal 8 2 5 3 2" xfId="3608" xr:uid="{00000000-0005-0000-0000-0000111D0000}"/>
    <cellStyle name="Normal 8 2 5 3 2 2" xfId="7830" xr:uid="{00000000-0005-0000-0000-0000121D0000}"/>
    <cellStyle name="Normal 8 2 5 3 2 2 2" xfId="16277" xr:uid="{91C4EA99-DAA1-4FD3-891C-9E148BD192CA}"/>
    <cellStyle name="Normal 8 2 5 3 2 3" xfId="12062" xr:uid="{1A027B33-8A74-48BB-B387-4342919C402A}"/>
    <cellStyle name="Normal 8 2 5 3 3" xfId="5685" xr:uid="{00000000-0005-0000-0000-0000131D0000}"/>
    <cellStyle name="Normal 8 2 5 3 3 2" xfId="14132" xr:uid="{8190DFD6-B348-4A65-ACBE-0771DA5FB2A1}"/>
    <cellStyle name="Normal 8 2 5 3 4" xfId="9917" xr:uid="{35587557-97CC-4959-895D-A6D9EE7DECC9}"/>
    <cellStyle name="Normal 8 2 5 4" xfId="1791" xr:uid="{00000000-0005-0000-0000-0000141D0000}"/>
    <cellStyle name="Normal 8 2 5 4 2" xfId="4021" xr:uid="{00000000-0005-0000-0000-0000151D0000}"/>
    <cellStyle name="Normal 8 2 5 4 2 2" xfId="8243" xr:uid="{00000000-0005-0000-0000-0000161D0000}"/>
    <cellStyle name="Normal 8 2 5 4 2 2 2" xfId="16690" xr:uid="{CEB4613F-F68F-4F45-B1A4-A5BC4A1A503B}"/>
    <cellStyle name="Normal 8 2 5 4 2 3" xfId="12475" xr:uid="{B90EB23A-BE2C-4D45-BF29-7391A2E8A1EC}"/>
    <cellStyle name="Normal 8 2 5 4 3" xfId="6098" xr:uid="{00000000-0005-0000-0000-0000171D0000}"/>
    <cellStyle name="Normal 8 2 5 4 3 2" xfId="14545" xr:uid="{3A342DAE-3371-4F4B-9418-438CC04B4AC3}"/>
    <cellStyle name="Normal 8 2 5 4 4" xfId="10330" xr:uid="{2477409E-0FDD-4A2C-A343-F5D065BDA750}"/>
    <cellStyle name="Normal 8 2 5 5" xfId="2205" xr:uid="{00000000-0005-0000-0000-0000181D0000}"/>
    <cellStyle name="Normal 8 2 5 5 2" xfId="4434" xr:uid="{00000000-0005-0000-0000-0000191D0000}"/>
    <cellStyle name="Normal 8 2 5 5 2 2" xfId="8656" xr:uid="{00000000-0005-0000-0000-00001A1D0000}"/>
    <cellStyle name="Normal 8 2 5 5 2 2 2" xfId="17103" xr:uid="{F04550BC-742B-483B-8DFF-B79DED44015B}"/>
    <cellStyle name="Normal 8 2 5 5 2 3" xfId="12888" xr:uid="{D71CEEAD-69E3-46C0-99AA-48EFF1E8BAE5}"/>
    <cellStyle name="Normal 8 2 5 5 3" xfId="6511" xr:uid="{00000000-0005-0000-0000-00001B1D0000}"/>
    <cellStyle name="Normal 8 2 5 5 3 2" xfId="14958" xr:uid="{45EFE0E3-17A3-4AA4-A755-2C203CDEA80D}"/>
    <cellStyle name="Normal 8 2 5 5 4" xfId="10743" xr:uid="{3576228D-71A2-44C6-A0AB-30BCCFCEAA82}"/>
    <cellStyle name="Normal 8 2 5 6" xfId="2641" xr:uid="{00000000-0005-0000-0000-00001C1D0000}"/>
    <cellStyle name="Normal 8 2 5 6 2" xfId="6924" xr:uid="{00000000-0005-0000-0000-00001D1D0000}"/>
    <cellStyle name="Normal 8 2 5 6 2 2" xfId="15371" xr:uid="{6835FDC3-AA9A-4E43-99F8-BC22576F1043}"/>
    <cellStyle name="Normal 8 2 5 6 3" xfId="11156" xr:uid="{2A40E823-75C4-4243-9599-301B6AACBBF2}"/>
    <cellStyle name="Normal 8 2 5 7" xfId="4859" xr:uid="{00000000-0005-0000-0000-00001E1D0000}"/>
    <cellStyle name="Normal 8 2 5 7 2" xfId="13306" xr:uid="{1B366B3F-0E68-4BDB-A291-927F8AA31B94}"/>
    <cellStyle name="Normal 8 2 5 8" xfId="9091" xr:uid="{0D6C4BF7-1625-4F62-A849-47E8D160D398}"/>
    <cellStyle name="Normal 8 2 6" xfId="946" xr:uid="{00000000-0005-0000-0000-00001F1D0000}"/>
    <cellStyle name="Normal 8 2 6 2" xfId="3180" xr:uid="{00000000-0005-0000-0000-0000201D0000}"/>
    <cellStyle name="Normal 8 2 6 2 2" xfId="7402" xr:uid="{00000000-0005-0000-0000-0000211D0000}"/>
    <cellStyle name="Normal 8 2 6 2 2 2" xfId="15849" xr:uid="{059052BB-80F7-4A16-9412-0F4EB4B58BB6}"/>
    <cellStyle name="Normal 8 2 6 2 3" xfId="11634" xr:uid="{58801DDD-509C-4F25-B37B-B52A0A944767}"/>
    <cellStyle name="Normal 8 2 6 3" xfId="5257" xr:uid="{00000000-0005-0000-0000-0000221D0000}"/>
    <cellStyle name="Normal 8 2 6 3 2" xfId="13704" xr:uid="{55BF5BE0-B202-416F-B9E3-9532D7F6D262}"/>
    <cellStyle name="Normal 8 2 6 4" xfId="9489" xr:uid="{5BC70A50-5E8B-426E-9C58-73E2F39E2A11}"/>
    <cellStyle name="Normal 8 2 7" xfId="1363" xr:uid="{00000000-0005-0000-0000-0000231D0000}"/>
    <cellStyle name="Normal 8 2 7 2" xfId="3593" xr:uid="{00000000-0005-0000-0000-0000241D0000}"/>
    <cellStyle name="Normal 8 2 7 2 2" xfId="7815" xr:uid="{00000000-0005-0000-0000-0000251D0000}"/>
    <cellStyle name="Normal 8 2 7 2 2 2" xfId="16262" xr:uid="{27DE16EE-50CC-4C72-9347-824108525663}"/>
    <cellStyle name="Normal 8 2 7 2 3" xfId="12047" xr:uid="{3B6B0145-CD28-4217-BE21-546375CA5588}"/>
    <cellStyle name="Normal 8 2 7 3" xfId="5670" xr:uid="{00000000-0005-0000-0000-0000261D0000}"/>
    <cellStyle name="Normal 8 2 7 3 2" xfId="14117" xr:uid="{7BF306E4-9BDF-4CFF-9829-A666B51D4DDF}"/>
    <cellStyle name="Normal 8 2 7 4" xfId="9902" xr:uid="{10D30CD6-4C10-4A1C-9BCD-70E24CD2E13F}"/>
    <cellStyle name="Normal 8 2 8" xfId="1776" xr:uid="{00000000-0005-0000-0000-0000271D0000}"/>
    <cellStyle name="Normal 8 2 8 2" xfId="4006" xr:uid="{00000000-0005-0000-0000-0000281D0000}"/>
    <cellStyle name="Normal 8 2 8 2 2" xfId="8228" xr:uid="{00000000-0005-0000-0000-0000291D0000}"/>
    <cellStyle name="Normal 8 2 8 2 2 2" xfId="16675" xr:uid="{E91A3FF0-34E0-4E12-9545-4D01E9CB9C33}"/>
    <cellStyle name="Normal 8 2 8 2 3" xfId="12460" xr:uid="{762C53FE-DF0D-4A2C-A522-FCF940FF6183}"/>
    <cellStyle name="Normal 8 2 8 3" xfId="6083" xr:uid="{00000000-0005-0000-0000-00002A1D0000}"/>
    <cellStyle name="Normal 8 2 8 3 2" xfId="14530" xr:uid="{0A121131-0D90-4845-AEFB-540C3DB80062}"/>
    <cellStyle name="Normal 8 2 8 4" xfId="10315" xr:uid="{655F6CF2-026B-4691-BA47-676EB54B6432}"/>
    <cellStyle name="Normal 8 2 9" xfId="2190" xr:uid="{00000000-0005-0000-0000-00002B1D0000}"/>
    <cellStyle name="Normal 8 2 9 2" xfId="4419" xr:uid="{00000000-0005-0000-0000-00002C1D0000}"/>
    <cellStyle name="Normal 8 2 9 2 2" xfId="8641" xr:uid="{00000000-0005-0000-0000-00002D1D0000}"/>
    <cellStyle name="Normal 8 2 9 2 2 2" xfId="17088" xr:uid="{56030E0D-D78F-482C-BCB3-6EEE1C72EE3E}"/>
    <cellStyle name="Normal 8 2 9 2 3" xfId="12873" xr:uid="{8B3C5571-D989-4E25-9D58-C2C7608B63EE}"/>
    <cellStyle name="Normal 8 2 9 3" xfId="6496" xr:uid="{00000000-0005-0000-0000-00002E1D0000}"/>
    <cellStyle name="Normal 8 2 9 3 2" xfId="14943" xr:uid="{D5078A88-DBB7-4EEF-A23C-8C78424C0D53}"/>
    <cellStyle name="Normal 8 2 9 4" xfId="10728" xr:uid="{324F1398-5302-40A8-AC87-C3BB000F2CA6}"/>
    <cellStyle name="Normal 8 3" xfId="495" xr:uid="{00000000-0005-0000-0000-00002F1D0000}"/>
    <cellStyle name="Normal 8 3 10" xfId="4860" xr:uid="{00000000-0005-0000-0000-0000301D0000}"/>
    <cellStyle name="Normal 8 3 10 2" xfId="13307" xr:uid="{228FB946-0750-43D7-AEA8-F2F802EF7E4C}"/>
    <cellStyle name="Normal 8 3 11" xfId="9092" xr:uid="{D2E3474E-5185-41B5-8F13-59F47E2D2098}"/>
    <cellStyle name="Normal 8 3 2" xfId="496" xr:uid="{00000000-0005-0000-0000-0000311D0000}"/>
    <cellStyle name="Normal 8 3 2 10" xfId="9093" xr:uid="{33EB5385-969A-4B51-AF9D-0827BBF57776}"/>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68" xr:uid="{CF38DB6D-7EE8-436C-BF85-7B73A625B71F}"/>
    <cellStyle name="Normal 8 3 2 2 2 2 2 3" xfId="11653" xr:uid="{F40EEC34-3A4D-4198-AFCF-B27DAFACAA58}"/>
    <cellStyle name="Normal 8 3 2 2 2 2 3" xfId="5276" xr:uid="{00000000-0005-0000-0000-0000371D0000}"/>
    <cellStyle name="Normal 8 3 2 2 2 2 3 2" xfId="13723" xr:uid="{506315F8-0D28-462A-B6D6-34EBB9594D2A}"/>
    <cellStyle name="Normal 8 3 2 2 2 2 4" xfId="9508" xr:uid="{0E835F54-DED9-4C85-9A17-E05574E6D5BE}"/>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1" xr:uid="{7FDCBF5D-DC56-43FC-8CD2-2E74E6473871}"/>
    <cellStyle name="Normal 8 3 2 2 2 3 2 3" xfId="12066" xr:uid="{9BE41C60-C419-49A6-A97F-8306132F96FC}"/>
    <cellStyle name="Normal 8 3 2 2 2 3 3" xfId="5689" xr:uid="{00000000-0005-0000-0000-00003B1D0000}"/>
    <cellStyle name="Normal 8 3 2 2 2 3 3 2" xfId="14136" xr:uid="{380E5D1F-54B0-4A55-9068-24B52AF74C5B}"/>
    <cellStyle name="Normal 8 3 2 2 2 3 4" xfId="9921" xr:uid="{D61097BE-5BB2-4DB1-AA25-85F2FC589C3A}"/>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4" xr:uid="{5DCAEAD8-B703-46A2-A8C0-64E6ACC8C20A}"/>
    <cellStyle name="Normal 8 3 2 2 2 4 2 3" xfId="12479" xr:uid="{B9680EC4-0BC8-4478-9802-4AC5BF88C1D8}"/>
    <cellStyle name="Normal 8 3 2 2 2 4 3" xfId="6102" xr:uid="{00000000-0005-0000-0000-00003F1D0000}"/>
    <cellStyle name="Normal 8 3 2 2 2 4 3 2" xfId="14549" xr:uid="{DBC53A84-EE7C-47BE-B2D8-ADFEDA1926EC}"/>
    <cellStyle name="Normal 8 3 2 2 2 4 4" xfId="10334" xr:uid="{C0E75CC9-787E-446A-A065-2083A6D6E296}"/>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07" xr:uid="{0B108D8C-A621-4C7A-BC18-48A748733962}"/>
    <cellStyle name="Normal 8 3 2 2 2 5 2 3" xfId="12892" xr:uid="{0E886AC8-8F44-41B4-9734-3998E448218E}"/>
    <cellStyle name="Normal 8 3 2 2 2 5 3" xfId="6515" xr:uid="{00000000-0005-0000-0000-0000431D0000}"/>
    <cellStyle name="Normal 8 3 2 2 2 5 3 2" xfId="14962" xr:uid="{90118B87-736F-4ED6-B2E8-60C79F223B82}"/>
    <cellStyle name="Normal 8 3 2 2 2 5 4" xfId="10747" xr:uid="{FB035FD9-DFD6-4A96-8256-0B00DDE98282}"/>
    <cellStyle name="Normal 8 3 2 2 2 6" xfId="2645" xr:uid="{00000000-0005-0000-0000-0000441D0000}"/>
    <cellStyle name="Normal 8 3 2 2 2 6 2" xfId="6928" xr:uid="{00000000-0005-0000-0000-0000451D0000}"/>
    <cellStyle name="Normal 8 3 2 2 2 6 2 2" xfId="15375" xr:uid="{E8569D58-F7E9-440F-88FB-4799BB522219}"/>
    <cellStyle name="Normal 8 3 2 2 2 6 3" xfId="11160" xr:uid="{FDB33E0D-34EA-4204-A26C-EDE31CA65A14}"/>
    <cellStyle name="Normal 8 3 2 2 2 7" xfId="4863" xr:uid="{00000000-0005-0000-0000-0000461D0000}"/>
    <cellStyle name="Normal 8 3 2 2 2 7 2" xfId="13310" xr:uid="{0B5536BA-580E-4251-9B23-E45A8D854FCC}"/>
    <cellStyle name="Normal 8 3 2 2 2 8" xfId="9095" xr:uid="{6B29D44B-5DCB-4F67-9984-450529954B20}"/>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67" xr:uid="{AF5A56B6-FBAA-43E7-BFD8-E94EA3DBED74}"/>
    <cellStyle name="Normal 8 3 2 2 3 2 3" xfId="11652" xr:uid="{26555707-C650-4311-B8B5-FDCF62EE11EE}"/>
    <cellStyle name="Normal 8 3 2 2 3 3" xfId="5275" xr:uid="{00000000-0005-0000-0000-00004A1D0000}"/>
    <cellStyle name="Normal 8 3 2 2 3 3 2" xfId="13722" xr:uid="{35366B4E-C36D-4327-933C-20CB8FAB19F8}"/>
    <cellStyle name="Normal 8 3 2 2 3 4" xfId="9507" xr:uid="{935E9939-8E0F-4316-B200-1F58117F0A46}"/>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0" xr:uid="{5C6AC2D9-5753-437D-836A-74F8F2444420}"/>
    <cellStyle name="Normal 8 3 2 2 4 2 3" xfId="12065" xr:uid="{31C7E818-E669-42A9-9EFF-6AC7223751D4}"/>
    <cellStyle name="Normal 8 3 2 2 4 3" xfId="5688" xr:uid="{00000000-0005-0000-0000-00004E1D0000}"/>
    <cellStyle name="Normal 8 3 2 2 4 3 2" xfId="14135" xr:uid="{6C665AFE-0CBD-40BE-BCD8-101C161CA00F}"/>
    <cellStyle name="Normal 8 3 2 2 4 4" xfId="9920" xr:uid="{9171F00D-0982-49E6-A209-3DEEC5432217}"/>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3" xr:uid="{67C7E0A8-3852-48E0-A84E-DDFE1718DE8A}"/>
    <cellStyle name="Normal 8 3 2 2 5 2 3" xfId="12478" xr:uid="{9234C2EE-EABB-48FF-AB52-5473A1BBAFFB}"/>
    <cellStyle name="Normal 8 3 2 2 5 3" xfId="6101" xr:uid="{00000000-0005-0000-0000-0000521D0000}"/>
    <cellStyle name="Normal 8 3 2 2 5 3 2" xfId="14548" xr:uid="{431F5813-AD1F-44FA-9E8F-22352B3F87CC}"/>
    <cellStyle name="Normal 8 3 2 2 5 4" xfId="10333" xr:uid="{D57B4A41-6AD8-4FC9-8CE3-F93FE52B5ABE}"/>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6" xr:uid="{168A21A5-CEAB-4ED2-8392-7E60C907F48A}"/>
    <cellStyle name="Normal 8 3 2 2 6 2 3" xfId="12891" xr:uid="{748A3D23-ACCB-4D92-9247-CC5A792F1061}"/>
    <cellStyle name="Normal 8 3 2 2 6 3" xfId="6514" xr:uid="{00000000-0005-0000-0000-0000561D0000}"/>
    <cellStyle name="Normal 8 3 2 2 6 3 2" xfId="14961" xr:uid="{055AABE7-D454-47B6-901A-7F931DA031C9}"/>
    <cellStyle name="Normal 8 3 2 2 6 4" xfId="10746" xr:uid="{F9BBDB67-A9E4-44B6-9BA9-93C8768D58E9}"/>
    <cellStyle name="Normal 8 3 2 2 7" xfId="2644" xr:uid="{00000000-0005-0000-0000-0000571D0000}"/>
    <cellStyle name="Normal 8 3 2 2 7 2" xfId="6927" xr:uid="{00000000-0005-0000-0000-0000581D0000}"/>
    <cellStyle name="Normal 8 3 2 2 7 2 2" xfId="15374" xr:uid="{078445DA-D9C9-46B3-9785-3D3991A2B641}"/>
    <cellStyle name="Normal 8 3 2 2 7 3" xfId="11159" xr:uid="{3B2FC87E-7819-4773-B76D-06621815CA0C}"/>
    <cellStyle name="Normal 8 3 2 2 8" xfId="4862" xr:uid="{00000000-0005-0000-0000-0000591D0000}"/>
    <cellStyle name="Normal 8 3 2 2 8 2" xfId="13309" xr:uid="{7D0CA1F2-544C-4A7F-A327-5D30D584EA69}"/>
    <cellStyle name="Normal 8 3 2 2 9" xfId="9094" xr:uid="{2050FA11-D366-453E-B297-EC62C644A99A}"/>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69" xr:uid="{BF378C83-DED7-47F5-9404-251ECB3B3AEB}"/>
    <cellStyle name="Normal 8 3 2 3 2 2 3" xfId="11654" xr:uid="{F4BD2C79-1971-47E0-A5DB-4E968403B646}"/>
    <cellStyle name="Normal 8 3 2 3 2 3" xfId="5277" xr:uid="{00000000-0005-0000-0000-00005E1D0000}"/>
    <cellStyle name="Normal 8 3 2 3 2 3 2" xfId="13724" xr:uid="{31D23CA4-1F94-4463-8C3D-DE2915446DC5}"/>
    <cellStyle name="Normal 8 3 2 3 2 4" xfId="9509" xr:uid="{9EB063D7-758E-45A7-9DD9-96AD57AB1F23}"/>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2" xr:uid="{C965E77D-2EFC-4190-90D5-EA9D93F0786A}"/>
    <cellStyle name="Normal 8 3 2 3 3 2 3" xfId="12067" xr:uid="{B7FBEAB6-9B76-4156-A26D-3CC5B63890EB}"/>
    <cellStyle name="Normal 8 3 2 3 3 3" xfId="5690" xr:uid="{00000000-0005-0000-0000-0000621D0000}"/>
    <cellStyle name="Normal 8 3 2 3 3 3 2" xfId="14137" xr:uid="{16D62F0A-FE64-43B5-A318-644AF5EBB647}"/>
    <cellStyle name="Normal 8 3 2 3 3 4" xfId="9922" xr:uid="{EB793537-DFFE-4B87-BE74-8D1C14F72124}"/>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5" xr:uid="{E575B0F2-E6AE-4DC9-AF63-502D43D6EAE2}"/>
    <cellStyle name="Normal 8 3 2 3 4 2 3" xfId="12480" xr:uid="{7E775EF2-11FD-4BEB-B5AB-6B98154D8358}"/>
    <cellStyle name="Normal 8 3 2 3 4 3" xfId="6103" xr:uid="{00000000-0005-0000-0000-0000661D0000}"/>
    <cellStyle name="Normal 8 3 2 3 4 3 2" xfId="14550" xr:uid="{1C24B5E3-0471-405D-B16F-BB1FD6C07EAC}"/>
    <cellStyle name="Normal 8 3 2 3 4 4" xfId="10335" xr:uid="{B46D3EA2-B21F-41E2-8691-5DA983ED373D}"/>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08" xr:uid="{3C65248B-4BC2-49FE-95D5-114884E79AF0}"/>
    <cellStyle name="Normal 8 3 2 3 5 2 3" xfId="12893" xr:uid="{51768C08-DFF6-4D62-AAFE-17CDE836EC12}"/>
    <cellStyle name="Normal 8 3 2 3 5 3" xfId="6516" xr:uid="{00000000-0005-0000-0000-00006A1D0000}"/>
    <cellStyle name="Normal 8 3 2 3 5 3 2" xfId="14963" xr:uid="{E0163CF2-2F11-476E-AC1B-E7A4F0B54E39}"/>
    <cellStyle name="Normal 8 3 2 3 5 4" xfId="10748" xr:uid="{ED082C1C-B284-445A-BCE0-C80E76CDFA0E}"/>
    <cellStyle name="Normal 8 3 2 3 6" xfId="2646" xr:uid="{00000000-0005-0000-0000-00006B1D0000}"/>
    <cellStyle name="Normal 8 3 2 3 6 2" xfId="6929" xr:uid="{00000000-0005-0000-0000-00006C1D0000}"/>
    <cellStyle name="Normal 8 3 2 3 6 2 2" xfId="15376" xr:uid="{3A6CE812-05F6-47A3-AE69-CE76018C60A9}"/>
    <cellStyle name="Normal 8 3 2 3 6 3" xfId="11161" xr:uid="{13696B38-5300-48BE-B84C-1CE6DBF2F09D}"/>
    <cellStyle name="Normal 8 3 2 3 7" xfId="4864" xr:uid="{00000000-0005-0000-0000-00006D1D0000}"/>
    <cellStyle name="Normal 8 3 2 3 7 2" xfId="13311" xr:uid="{8B4DCC01-F02F-4994-B450-ADFFDD8ED12D}"/>
    <cellStyle name="Normal 8 3 2 3 8" xfId="9096" xr:uid="{CF80FB42-4F20-4FB2-9837-023C2A5200B6}"/>
    <cellStyle name="Normal 8 3 2 4" xfId="963" xr:uid="{00000000-0005-0000-0000-00006E1D0000}"/>
    <cellStyle name="Normal 8 3 2 4 2" xfId="3197" xr:uid="{00000000-0005-0000-0000-00006F1D0000}"/>
    <cellStyle name="Normal 8 3 2 4 2 2" xfId="7419" xr:uid="{00000000-0005-0000-0000-0000701D0000}"/>
    <cellStyle name="Normal 8 3 2 4 2 2 2" xfId="15866" xr:uid="{38C85E5C-2EFE-4FCE-95D0-8C7D3978100A}"/>
    <cellStyle name="Normal 8 3 2 4 2 3" xfId="11651" xr:uid="{F5E3B460-C19B-40F3-815A-2BA66E475EA3}"/>
    <cellStyle name="Normal 8 3 2 4 3" xfId="5274" xr:uid="{00000000-0005-0000-0000-0000711D0000}"/>
    <cellStyle name="Normal 8 3 2 4 3 2" xfId="13721" xr:uid="{F99FEFF2-B4E5-47D5-BEE2-DE161B2F00B8}"/>
    <cellStyle name="Normal 8 3 2 4 4" xfId="9506" xr:uid="{2132EF2A-5091-4893-BF0E-AA3BFD524020}"/>
    <cellStyle name="Normal 8 3 2 5" xfId="1380" xr:uid="{00000000-0005-0000-0000-0000721D0000}"/>
    <cellStyle name="Normal 8 3 2 5 2" xfId="3610" xr:uid="{00000000-0005-0000-0000-0000731D0000}"/>
    <cellStyle name="Normal 8 3 2 5 2 2" xfId="7832" xr:uid="{00000000-0005-0000-0000-0000741D0000}"/>
    <cellStyle name="Normal 8 3 2 5 2 2 2" xfId="16279" xr:uid="{7F944D12-BBDF-47BA-886D-0089FB49B8DE}"/>
    <cellStyle name="Normal 8 3 2 5 2 3" xfId="12064" xr:uid="{499F3FFA-0087-4616-8D09-2866AC728BD7}"/>
    <cellStyle name="Normal 8 3 2 5 3" xfId="5687" xr:uid="{00000000-0005-0000-0000-0000751D0000}"/>
    <cellStyle name="Normal 8 3 2 5 3 2" xfId="14134" xr:uid="{91F1B60B-324B-498E-B29F-5552706FEDC4}"/>
    <cellStyle name="Normal 8 3 2 5 4" xfId="9919" xr:uid="{ED940778-9BB7-4D91-AED1-4BB9F4E732C6}"/>
    <cellStyle name="Normal 8 3 2 6" xfId="1793" xr:uid="{00000000-0005-0000-0000-0000761D0000}"/>
    <cellStyle name="Normal 8 3 2 6 2" xfId="4023" xr:uid="{00000000-0005-0000-0000-0000771D0000}"/>
    <cellStyle name="Normal 8 3 2 6 2 2" xfId="8245" xr:uid="{00000000-0005-0000-0000-0000781D0000}"/>
    <cellStyle name="Normal 8 3 2 6 2 2 2" xfId="16692" xr:uid="{4B538A9E-4617-4C1D-A3B2-0D978CA47790}"/>
    <cellStyle name="Normal 8 3 2 6 2 3" xfId="12477" xr:uid="{5BECD63B-24DD-4E37-B4FC-958D59DBD1F8}"/>
    <cellStyle name="Normal 8 3 2 6 3" xfId="6100" xr:uid="{00000000-0005-0000-0000-0000791D0000}"/>
    <cellStyle name="Normal 8 3 2 6 3 2" xfId="14547" xr:uid="{53130D91-0FFB-4147-BB1C-8E7951AFA0AA}"/>
    <cellStyle name="Normal 8 3 2 6 4" xfId="10332" xr:uid="{0BB25B07-47B5-4BB8-8581-80ACE1D58BE1}"/>
    <cellStyle name="Normal 8 3 2 7" xfId="2207" xr:uid="{00000000-0005-0000-0000-00007A1D0000}"/>
    <cellStyle name="Normal 8 3 2 7 2" xfId="4436" xr:uid="{00000000-0005-0000-0000-00007B1D0000}"/>
    <cellStyle name="Normal 8 3 2 7 2 2" xfId="8658" xr:uid="{00000000-0005-0000-0000-00007C1D0000}"/>
    <cellStyle name="Normal 8 3 2 7 2 2 2" xfId="17105" xr:uid="{ACD5FC89-4BF3-4AFD-80C5-4759A8471FA2}"/>
    <cellStyle name="Normal 8 3 2 7 2 3" xfId="12890" xr:uid="{DA425C67-43C7-4FFB-B885-D45E944DDEF9}"/>
    <cellStyle name="Normal 8 3 2 7 3" xfId="6513" xr:uid="{00000000-0005-0000-0000-00007D1D0000}"/>
    <cellStyle name="Normal 8 3 2 7 3 2" xfId="14960" xr:uid="{64FEC4B3-A196-4E60-83D6-C16F934544B0}"/>
    <cellStyle name="Normal 8 3 2 7 4" xfId="10745" xr:uid="{A2CB336E-E1D0-4FED-86D9-8088DE306753}"/>
    <cellStyle name="Normal 8 3 2 8" xfId="2643" xr:uid="{00000000-0005-0000-0000-00007E1D0000}"/>
    <cellStyle name="Normal 8 3 2 8 2" xfId="6926" xr:uid="{00000000-0005-0000-0000-00007F1D0000}"/>
    <cellStyle name="Normal 8 3 2 8 2 2" xfId="15373" xr:uid="{91139B70-D60F-4456-9A52-EC10189E98CB}"/>
    <cellStyle name="Normal 8 3 2 8 3" xfId="11158" xr:uid="{6AC15145-2343-46BA-BAD7-F7564B771CA1}"/>
    <cellStyle name="Normal 8 3 2 9" xfId="4861" xr:uid="{00000000-0005-0000-0000-0000801D0000}"/>
    <cellStyle name="Normal 8 3 2 9 2" xfId="13308" xr:uid="{F69D6369-D517-4800-8AD9-342A4954AE3A}"/>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1" xr:uid="{243D66A8-785F-4042-B1D8-6B83E0FB1F78}"/>
    <cellStyle name="Normal 8 3 3 2 2 2 3" xfId="11656" xr:uid="{F23C2FC9-351E-4FC5-AA49-7BDDB9C7A3D9}"/>
    <cellStyle name="Normal 8 3 3 2 2 3" xfId="5279" xr:uid="{00000000-0005-0000-0000-0000861D0000}"/>
    <cellStyle name="Normal 8 3 3 2 2 3 2" xfId="13726" xr:uid="{D0C91CAA-3297-4103-B1F9-E9D625EEBDB5}"/>
    <cellStyle name="Normal 8 3 3 2 2 4" xfId="9511" xr:uid="{6D88D915-D85F-43E4-9456-BFE46C017A18}"/>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4" xr:uid="{F1AC6421-F1FA-419A-8461-073BD672C60D}"/>
    <cellStyle name="Normal 8 3 3 2 3 2 3" xfId="12069" xr:uid="{BD2ACCD6-205C-40E6-A823-BF05DED45384}"/>
    <cellStyle name="Normal 8 3 3 2 3 3" xfId="5692" xr:uid="{00000000-0005-0000-0000-00008A1D0000}"/>
    <cellStyle name="Normal 8 3 3 2 3 3 2" xfId="14139" xr:uid="{242E712D-4217-44AF-B92F-8804BA4E4EEB}"/>
    <cellStyle name="Normal 8 3 3 2 3 4" xfId="9924" xr:uid="{E0C0B4ED-631E-4431-8AA8-3322327F6FFE}"/>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697" xr:uid="{8331BCA0-F409-4B72-94AF-6413279941F9}"/>
    <cellStyle name="Normal 8 3 3 2 4 2 3" xfId="12482" xr:uid="{637CD569-4F78-488F-A426-FD22BA42EA00}"/>
    <cellStyle name="Normal 8 3 3 2 4 3" xfId="6105" xr:uid="{00000000-0005-0000-0000-00008E1D0000}"/>
    <cellStyle name="Normal 8 3 3 2 4 3 2" xfId="14552" xr:uid="{DA951ED6-CD08-4AB2-8DBA-2EAE5C7701A2}"/>
    <cellStyle name="Normal 8 3 3 2 4 4" xfId="10337" xr:uid="{CD4133C9-AC02-476A-AA6B-70B56A445AF4}"/>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0" xr:uid="{79C74F46-F10F-4804-A292-F1000AC91F45}"/>
    <cellStyle name="Normal 8 3 3 2 5 2 3" xfId="12895" xr:uid="{B7259619-817E-4B19-93AB-B8ED824342B9}"/>
    <cellStyle name="Normal 8 3 3 2 5 3" xfId="6518" xr:uid="{00000000-0005-0000-0000-0000921D0000}"/>
    <cellStyle name="Normal 8 3 3 2 5 3 2" xfId="14965" xr:uid="{75FEECAA-784F-4032-8E2F-36A338B57888}"/>
    <cellStyle name="Normal 8 3 3 2 5 4" xfId="10750" xr:uid="{726720EB-1CB6-4E51-850B-BF39A342D197}"/>
    <cellStyle name="Normal 8 3 3 2 6" xfId="2648" xr:uid="{00000000-0005-0000-0000-0000931D0000}"/>
    <cellStyle name="Normal 8 3 3 2 6 2" xfId="6931" xr:uid="{00000000-0005-0000-0000-0000941D0000}"/>
    <cellStyle name="Normal 8 3 3 2 6 2 2" xfId="15378" xr:uid="{4543EA42-13C8-468F-AB0E-C9F3B7D2BF0C}"/>
    <cellStyle name="Normal 8 3 3 2 6 3" xfId="11163" xr:uid="{DE18EC8A-95B5-40E8-864E-39C8FE60E170}"/>
    <cellStyle name="Normal 8 3 3 2 7" xfId="4866" xr:uid="{00000000-0005-0000-0000-0000951D0000}"/>
    <cellStyle name="Normal 8 3 3 2 7 2" xfId="13313" xr:uid="{50528CA3-DBF3-4189-8379-439334C5E266}"/>
    <cellStyle name="Normal 8 3 3 2 8" xfId="9098" xr:uid="{6C60B67C-4D00-4621-988C-53C067F64B79}"/>
    <cellStyle name="Normal 8 3 3 3" xfId="967" xr:uid="{00000000-0005-0000-0000-0000961D0000}"/>
    <cellStyle name="Normal 8 3 3 3 2" xfId="3201" xr:uid="{00000000-0005-0000-0000-0000971D0000}"/>
    <cellStyle name="Normal 8 3 3 3 2 2" xfId="7423" xr:uid="{00000000-0005-0000-0000-0000981D0000}"/>
    <cellStyle name="Normal 8 3 3 3 2 2 2" xfId="15870" xr:uid="{A74D67B7-D6D6-4377-ADB4-09347FF7B1D3}"/>
    <cellStyle name="Normal 8 3 3 3 2 3" xfId="11655" xr:uid="{85016AB4-F3E9-41C7-B031-97A15532A458}"/>
    <cellStyle name="Normal 8 3 3 3 3" xfId="5278" xr:uid="{00000000-0005-0000-0000-0000991D0000}"/>
    <cellStyle name="Normal 8 3 3 3 3 2" xfId="13725" xr:uid="{6359CAD0-CF3C-42FA-A8B2-553CC2660036}"/>
    <cellStyle name="Normal 8 3 3 3 4" xfId="9510" xr:uid="{5A3E02C7-F50D-4E08-8E8B-F062A89DF0F6}"/>
    <cellStyle name="Normal 8 3 3 4" xfId="1384" xr:uid="{00000000-0005-0000-0000-00009A1D0000}"/>
    <cellStyle name="Normal 8 3 3 4 2" xfId="3614" xr:uid="{00000000-0005-0000-0000-00009B1D0000}"/>
    <cellStyle name="Normal 8 3 3 4 2 2" xfId="7836" xr:uid="{00000000-0005-0000-0000-00009C1D0000}"/>
    <cellStyle name="Normal 8 3 3 4 2 2 2" xfId="16283" xr:uid="{F2292142-05D4-44E3-81D3-2A181C14452E}"/>
    <cellStyle name="Normal 8 3 3 4 2 3" xfId="12068" xr:uid="{178DA022-5951-4186-BD3F-720C41B0E676}"/>
    <cellStyle name="Normal 8 3 3 4 3" xfId="5691" xr:uid="{00000000-0005-0000-0000-00009D1D0000}"/>
    <cellStyle name="Normal 8 3 3 4 3 2" xfId="14138" xr:uid="{E32AC789-3642-4448-B137-13E65EC303AB}"/>
    <cellStyle name="Normal 8 3 3 4 4" xfId="9923" xr:uid="{29F5C8EB-4D08-467B-A893-3FB469BAF316}"/>
    <cellStyle name="Normal 8 3 3 5" xfId="1797" xr:uid="{00000000-0005-0000-0000-00009E1D0000}"/>
    <cellStyle name="Normal 8 3 3 5 2" xfId="4027" xr:uid="{00000000-0005-0000-0000-00009F1D0000}"/>
    <cellStyle name="Normal 8 3 3 5 2 2" xfId="8249" xr:uid="{00000000-0005-0000-0000-0000A01D0000}"/>
    <cellStyle name="Normal 8 3 3 5 2 2 2" xfId="16696" xr:uid="{D95A73D6-EB01-4650-A23C-330532D04559}"/>
    <cellStyle name="Normal 8 3 3 5 2 3" xfId="12481" xr:uid="{E477622C-BE07-4696-BACB-ADBCFDF44BBE}"/>
    <cellStyle name="Normal 8 3 3 5 3" xfId="6104" xr:uid="{00000000-0005-0000-0000-0000A11D0000}"/>
    <cellStyle name="Normal 8 3 3 5 3 2" xfId="14551" xr:uid="{579CD1FF-C860-4692-994F-285F91E3872D}"/>
    <cellStyle name="Normal 8 3 3 5 4" xfId="10336" xr:uid="{AB3C497E-CBC5-4313-8889-A881895ACF8F}"/>
    <cellStyle name="Normal 8 3 3 6" xfId="2211" xr:uid="{00000000-0005-0000-0000-0000A21D0000}"/>
    <cellStyle name="Normal 8 3 3 6 2" xfId="4440" xr:uid="{00000000-0005-0000-0000-0000A31D0000}"/>
    <cellStyle name="Normal 8 3 3 6 2 2" xfId="8662" xr:uid="{00000000-0005-0000-0000-0000A41D0000}"/>
    <cellStyle name="Normal 8 3 3 6 2 2 2" xfId="17109" xr:uid="{D2598D58-61FB-41E5-9156-7C6A2E9497E2}"/>
    <cellStyle name="Normal 8 3 3 6 2 3" xfId="12894" xr:uid="{3E5A5116-C48C-46FE-9BDD-B22A4CB1215D}"/>
    <cellStyle name="Normal 8 3 3 6 3" xfId="6517" xr:uid="{00000000-0005-0000-0000-0000A51D0000}"/>
    <cellStyle name="Normal 8 3 3 6 3 2" xfId="14964" xr:uid="{DDD8D7E8-0DB0-4315-ACA9-2CF748D24825}"/>
    <cellStyle name="Normal 8 3 3 6 4" xfId="10749" xr:uid="{5FCB02A8-02D1-4EAC-BFE0-D9E25C78B5DA}"/>
    <cellStyle name="Normal 8 3 3 7" xfId="2647" xr:uid="{00000000-0005-0000-0000-0000A61D0000}"/>
    <cellStyle name="Normal 8 3 3 7 2" xfId="6930" xr:uid="{00000000-0005-0000-0000-0000A71D0000}"/>
    <cellStyle name="Normal 8 3 3 7 2 2" xfId="15377" xr:uid="{628DE2BC-CE77-4CFF-A4B6-6B3D6B1185FE}"/>
    <cellStyle name="Normal 8 3 3 7 3" xfId="11162" xr:uid="{14FAEA78-B672-4DD1-B078-AF0C38CFDB45}"/>
    <cellStyle name="Normal 8 3 3 8" xfId="4865" xr:uid="{00000000-0005-0000-0000-0000A81D0000}"/>
    <cellStyle name="Normal 8 3 3 8 2" xfId="13312" xr:uid="{DB218996-A026-4FA7-82DD-4F0BF6111403}"/>
    <cellStyle name="Normal 8 3 3 9" xfId="9097" xr:uid="{553F9CB4-B868-4355-B484-EE1AEEF67038}"/>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2" xr:uid="{FF28874F-4FE8-4F58-BFCE-71255D04AC0A}"/>
    <cellStyle name="Normal 8 3 4 2 2 3" xfId="11657" xr:uid="{524BB6EF-4AE4-4BD0-BF8F-96D5716BB45F}"/>
    <cellStyle name="Normal 8 3 4 2 3" xfId="5280" xr:uid="{00000000-0005-0000-0000-0000AD1D0000}"/>
    <cellStyle name="Normal 8 3 4 2 3 2" xfId="13727" xr:uid="{2A51B721-4DA9-48D7-A841-6AC21A4F2D6C}"/>
    <cellStyle name="Normal 8 3 4 2 4" xfId="9512" xr:uid="{F2CE5FFF-E6AC-4401-842E-C7943AFD0D4C}"/>
    <cellStyle name="Normal 8 3 4 3" xfId="1386" xr:uid="{00000000-0005-0000-0000-0000AE1D0000}"/>
    <cellStyle name="Normal 8 3 4 3 2" xfId="3616" xr:uid="{00000000-0005-0000-0000-0000AF1D0000}"/>
    <cellStyle name="Normal 8 3 4 3 2 2" xfId="7838" xr:uid="{00000000-0005-0000-0000-0000B01D0000}"/>
    <cellStyle name="Normal 8 3 4 3 2 2 2" xfId="16285" xr:uid="{309639C0-ABE2-452A-8E5F-52F77AAD5932}"/>
    <cellStyle name="Normal 8 3 4 3 2 3" xfId="12070" xr:uid="{2CDEB311-A9D3-4AE3-828D-9025343850B0}"/>
    <cellStyle name="Normal 8 3 4 3 3" xfId="5693" xr:uid="{00000000-0005-0000-0000-0000B11D0000}"/>
    <cellStyle name="Normal 8 3 4 3 3 2" xfId="14140" xr:uid="{F79249FE-850C-43D7-B7DC-AAA005CD5E56}"/>
    <cellStyle name="Normal 8 3 4 3 4" xfId="9925" xr:uid="{D120CCDB-1227-409E-990F-A46F00F5A8DE}"/>
    <cellStyle name="Normal 8 3 4 4" xfId="1799" xr:uid="{00000000-0005-0000-0000-0000B21D0000}"/>
    <cellStyle name="Normal 8 3 4 4 2" xfId="4029" xr:uid="{00000000-0005-0000-0000-0000B31D0000}"/>
    <cellStyle name="Normal 8 3 4 4 2 2" xfId="8251" xr:uid="{00000000-0005-0000-0000-0000B41D0000}"/>
    <cellStyle name="Normal 8 3 4 4 2 2 2" xfId="16698" xr:uid="{03533887-6FD3-4A0B-9943-D8037C765486}"/>
    <cellStyle name="Normal 8 3 4 4 2 3" xfId="12483" xr:uid="{BA41F848-D5C6-4AD7-A7B7-2744334B0390}"/>
    <cellStyle name="Normal 8 3 4 4 3" xfId="6106" xr:uid="{00000000-0005-0000-0000-0000B51D0000}"/>
    <cellStyle name="Normal 8 3 4 4 3 2" xfId="14553" xr:uid="{E95C381C-70F1-429A-A007-721FEE6543E6}"/>
    <cellStyle name="Normal 8 3 4 4 4" xfId="10338" xr:uid="{74E333F7-5E86-4C9F-93BB-FDDD6A39B0F5}"/>
    <cellStyle name="Normal 8 3 4 5" xfId="2213" xr:uid="{00000000-0005-0000-0000-0000B61D0000}"/>
    <cellStyle name="Normal 8 3 4 5 2" xfId="4442" xr:uid="{00000000-0005-0000-0000-0000B71D0000}"/>
    <cellStyle name="Normal 8 3 4 5 2 2" xfId="8664" xr:uid="{00000000-0005-0000-0000-0000B81D0000}"/>
    <cellStyle name="Normal 8 3 4 5 2 2 2" xfId="17111" xr:uid="{B5587E54-7CBA-4CD6-AF57-2BB0EDAD9057}"/>
    <cellStyle name="Normal 8 3 4 5 2 3" xfId="12896" xr:uid="{D26BE953-CFB9-4E23-B52C-8B8C437928B4}"/>
    <cellStyle name="Normal 8 3 4 5 3" xfId="6519" xr:uid="{00000000-0005-0000-0000-0000B91D0000}"/>
    <cellStyle name="Normal 8 3 4 5 3 2" xfId="14966" xr:uid="{EC173FC5-630C-4B0D-AA52-545C23BA28CB}"/>
    <cellStyle name="Normal 8 3 4 5 4" xfId="10751" xr:uid="{0CF4162B-EA8A-47D8-851B-71567F8D756A}"/>
    <cellStyle name="Normal 8 3 4 6" xfId="2649" xr:uid="{00000000-0005-0000-0000-0000BA1D0000}"/>
    <cellStyle name="Normal 8 3 4 6 2" xfId="6932" xr:uid="{00000000-0005-0000-0000-0000BB1D0000}"/>
    <cellStyle name="Normal 8 3 4 6 2 2" xfId="15379" xr:uid="{603B9AA3-E6AC-48E8-A6CC-CF9E70C73DFC}"/>
    <cellStyle name="Normal 8 3 4 6 3" xfId="11164" xr:uid="{2C753861-72A5-4189-86DC-CA6BC3B4E6B1}"/>
    <cellStyle name="Normal 8 3 4 7" xfId="4867" xr:uid="{00000000-0005-0000-0000-0000BC1D0000}"/>
    <cellStyle name="Normal 8 3 4 7 2" xfId="13314" xr:uid="{7A209E62-A9C9-4560-BAB3-7D6456BB8A37}"/>
    <cellStyle name="Normal 8 3 4 8" xfId="9099" xr:uid="{D2D112FC-8D0B-4CD6-BB6E-89F0503DD044}"/>
    <cellStyle name="Normal 8 3 5" xfId="962" xr:uid="{00000000-0005-0000-0000-0000BD1D0000}"/>
    <cellStyle name="Normal 8 3 5 2" xfId="3196" xr:uid="{00000000-0005-0000-0000-0000BE1D0000}"/>
    <cellStyle name="Normal 8 3 5 2 2" xfId="7418" xr:uid="{00000000-0005-0000-0000-0000BF1D0000}"/>
    <cellStyle name="Normal 8 3 5 2 2 2" xfId="15865" xr:uid="{A54ABECE-1D04-4584-870E-FAED110D6CC1}"/>
    <cellStyle name="Normal 8 3 5 2 3" xfId="11650" xr:uid="{4D9E5198-B0C6-462B-B54C-209B776ECE5C}"/>
    <cellStyle name="Normal 8 3 5 3" xfId="5273" xr:uid="{00000000-0005-0000-0000-0000C01D0000}"/>
    <cellStyle name="Normal 8 3 5 3 2" xfId="13720" xr:uid="{DDAC13DF-C8A1-416C-9BC5-513B9F3931B1}"/>
    <cellStyle name="Normal 8 3 5 4" xfId="9505" xr:uid="{824869C5-DE10-4780-AF59-891CC147B00B}"/>
    <cellStyle name="Normal 8 3 6" xfId="1379" xr:uid="{00000000-0005-0000-0000-0000C11D0000}"/>
    <cellStyle name="Normal 8 3 6 2" xfId="3609" xr:uid="{00000000-0005-0000-0000-0000C21D0000}"/>
    <cellStyle name="Normal 8 3 6 2 2" xfId="7831" xr:uid="{00000000-0005-0000-0000-0000C31D0000}"/>
    <cellStyle name="Normal 8 3 6 2 2 2" xfId="16278" xr:uid="{10EF3BA9-82C4-4E22-AF63-2106A9A6AF23}"/>
    <cellStyle name="Normal 8 3 6 2 3" xfId="12063" xr:uid="{5D110367-D296-4B7C-A9CE-4D0A53DCCC0B}"/>
    <cellStyle name="Normal 8 3 6 3" xfId="5686" xr:uid="{00000000-0005-0000-0000-0000C41D0000}"/>
    <cellStyle name="Normal 8 3 6 3 2" xfId="14133" xr:uid="{5D75D786-599F-4F0F-ADBE-228358FB5CD0}"/>
    <cellStyle name="Normal 8 3 6 4" xfId="9918" xr:uid="{C1613DE1-70A6-41BF-A9BF-AF5BA7D4715E}"/>
    <cellStyle name="Normal 8 3 7" xfId="1792" xr:uid="{00000000-0005-0000-0000-0000C51D0000}"/>
    <cellStyle name="Normal 8 3 7 2" xfId="4022" xr:uid="{00000000-0005-0000-0000-0000C61D0000}"/>
    <cellStyle name="Normal 8 3 7 2 2" xfId="8244" xr:uid="{00000000-0005-0000-0000-0000C71D0000}"/>
    <cellStyle name="Normal 8 3 7 2 2 2" xfId="16691" xr:uid="{2336BEC2-CDD6-4AD3-AA5B-3BED04BCEDBB}"/>
    <cellStyle name="Normal 8 3 7 2 3" xfId="12476" xr:uid="{89362F6E-20C0-4BF8-BE74-EDC0DE714FEC}"/>
    <cellStyle name="Normal 8 3 7 3" xfId="6099" xr:uid="{00000000-0005-0000-0000-0000C81D0000}"/>
    <cellStyle name="Normal 8 3 7 3 2" xfId="14546" xr:uid="{832C2B11-0CB6-46E9-8178-37DF2B2389E1}"/>
    <cellStyle name="Normal 8 3 7 4" xfId="10331" xr:uid="{F09DC039-7FBF-4599-9EE3-2019BEC2E852}"/>
    <cellStyle name="Normal 8 3 8" xfId="2206" xr:uid="{00000000-0005-0000-0000-0000C91D0000}"/>
    <cellStyle name="Normal 8 3 8 2" xfId="4435" xr:uid="{00000000-0005-0000-0000-0000CA1D0000}"/>
    <cellStyle name="Normal 8 3 8 2 2" xfId="8657" xr:uid="{00000000-0005-0000-0000-0000CB1D0000}"/>
    <cellStyle name="Normal 8 3 8 2 2 2" xfId="17104" xr:uid="{DAE99224-B8EB-44D4-A46E-E78005503761}"/>
    <cellStyle name="Normal 8 3 8 2 3" xfId="12889" xr:uid="{9EB6AF9E-7E9D-4D33-97B8-3F1A92F63D10}"/>
    <cellStyle name="Normal 8 3 8 3" xfId="6512" xr:uid="{00000000-0005-0000-0000-0000CC1D0000}"/>
    <cellStyle name="Normal 8 3 8 3 2" xfId="14959" xr:uid="{E0ABA830-2286-4093-8E11-3E19213B4826}"/>
    <cellStyle name="Normal 8 3 8 4" xfId="10744" xr:uid="{9C69ECED-FA07-4874-A2D6-39CB50E8DA11}"/>
    <cellStyle name="Normal 8 3 9" xfId="2642" xr:uid="{00000000-0005-0000-0000-0000CD1D0000}"/>
    <cellStyle name="Normal 8 3 9 2" xfId="6925" xr:uid="{00000000-0005-0000-0000-0000CE1D0000}"/>
    <cellStyle name="Normal 8 3 9 2 2" xfId="15372" xr:uid="{0D64445E-F826-4FE9-918F-60580225E975}"/>
    <cellStyle name="Normal 8 3 9 3" xfId="11157" xr:uid="{CE45D7C0-932D-4146-9291-7B64A49419D0}"/>
    <cellStyle name="Normal 8 4" xfId="503" xr:uid="{00000000-0005-0000-0000-0000CF1D0000}"/>
    <cellStyle name="Normal 8 4 10" xfId="9100" xr:uid="{7AE27D0E-3EFE-426A-964A-65DC31F0A6F6}"/>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5" xr:uid="{C73C8D8A-E6BA-4B3C-ACAF-AE7759A9EE7B}"/>
    <cellStyle name="Normal 8 4 2 2 2 2 3" xfId="11660" xr:uid="{2BF13F9D-5D49-4B91-B1EB-A62F290A9977}"/>
    <cellStyle name="Normal 8 4 2 2 2 3" xfId="5283" xr:uid="{00000000-0005-0000-0000-0000D51D0000}"/>
    <cellStyle name="Normal 8 4 2 2 2 3 2" xfId="13730" xr:uid="{A66CDBFC-B016-4DD2-9D4F-71BFD0A23B9C}"/>
    <cellStyle name="Normal 8 4 2 2 2 4" xfId="9515" xr:uid="{FD4B6A3B-C31E-4906-AD61-6CD7C22FC221}"/>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88" xr:uid="{695D7699-88DC-49FC-A9D5-D410EB704BCA}"/>
    <cellStyle name="Normal 8 4 2 2 3 2 3" xfId="12073" xr:uid="{09BAEEC9-F984-4ED7-8DE9-A87DA2DC9165}"/>
    <cellStyle name="Normal 8 4 2 2 3 3" xfId="5696" xr:uid="{00000000-0005-0000-0000-0000D91D0000}"/>
    <cellStyle name="Normal 8 4 2 2 3 3 2" xfId="14143" xr:uid="{206AC9C8-E67E-432D-9E22-D37F235AA5A1}"/>
    <cellStyle name="Normal 8 4 2 2 3 4" xfId="9928" xr:uid="{9AEC71E7-2FE9-4906-AB76-4F30EAED0580}"/>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1" xr:uid="{17AE6B9C-0BE7-49CB-BFBC-8D6C619ADC32}"/>
    <cellStyle name="Normal 8 4 2 2 4 2 3" xfId="12486" xr:uid="{25834429-8803-4027-ACB6-BCE111F39A75}"/>
    <cellStyle name="Normal 8 4 2 2 4 3" xfId="6109" xr:uid="{00000000-0005-0000-0000-0000DD1D0000}"/>
    <cellStyle name="Normal 8 4 2 2 4 3 2" xfId="14556" xr:uid="{A39D21E6-A983-4441-9802-21DD86403F89}"/>
    <cellStyle name="Normal 8 4 2 2 4 4" xfId="10341" xr:uid="{4F0F9B09-6F46-4AF5-9445-4EBA797AA4A5}"/>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4" xr:uid="{0965C3E5-7940-44E4-9355-92E7588B8E88}"/>
    <cellStyle name="Normal 8 4 2 2 5 2 3" xfId="12899" xr:uid="{E9B5C01C-7CD7-4CDA-BEAB-E8D6F13DF3D1}"/>
    <cellStyle name="Normal 8 4 2 2 5 3" xfId="6522" xr:uid="{00000000-0005-0000-0000-0000E11D0000}"/>
    <cellStyle name="Normal 8 4 2 2 5 3 2" xfId="14969" xr:uid="{6AC0757A-9D85-490D-8D56-03FCF3103A6F}"/>
    <cellStyle name="Normal 8 4 2 2 5 4" xfId="10754" xr:uid="{129BEB3F-22F8-4EDD-8713-4C6AA7E58DB7}"/>
    <cellStyle name="Normal 8 4 2 2 6" xfId="2652" xr:uid="{00000000-0005-0000-0000-0000E21D0000}"/>
    <cellStyle name="Normal 8 4 2 2 6 2" xfId="6935" xr:uid="{00000000-0005-0000-0000-0000E31D0000}"/>
    <cellStyle name="Normal 8 4 2 2 6 2 2" xfId="15382" xr:uid="{7DAAFFBA-A267-4606-AC52-76BEF917A2F0}"/>
    <cellStyle name="Normal 8 4 2 2 6 3" xfId="11167" xr:uid="{41447F79-6FBA-4BDA-A67B-EB0D55308902}"/>
    <cellStyle name="Normal 8 4 2 2 7" xfId="4870" xr:uid="{00000000-0005-0000-0000-0000E41D0000}"/>
    <cellStyle name="Normal 8 4 2 2 7 2" xfId="13317" xr:uid="{1ABA0118-91B4-4FF4-82C5-7763EE64E701}"/>
    <cellStyle name="Normal 8 4 2 2 8" xfId="9102" xr:uid="{EAC4CC2E-464A-473B-8140-F92C5FB5CE11}"/>
    <cellStyle name="Normal 8 4 2 3" xfId="971" xr:uid="{00000000-0005-0000-0000-0000E51D0000}"/>
    <cellStyle name="Normal 8 4 2 3 2" xfId="3205" xr:uid="{00000000-0005-0000-0000-0000E61D0000}"/>
    <cellStyle name="Normal 8 4 2 3 2 2" xfId="7427" xr:uid="{00000000-0005-0000-0000-0000E71D0000}"/>
    <cellStyle name="Normal 8 4 2 3 2 2 2" xfId="15874" xr:uid="{4BB3EBEE-9D88-4EC4-BC41-4E4D7D67EE3F}"/>
    <cellStyle name="Normal 8 4 2 3 2 3" xfId="11659" xr:uid="{0F5F023E-FD64-46B1-939D-4A08426B01E0}"/>
    <cellStyle name="Normal 8 4 2 3 3" xfId="5282" xr:uid="{00000000-0005-0000-0000-0000E81D0000}"/>
    <cellStyle name="Normal 8 4 2 3 3 2" xfId="13729" xr:uid="{600C5E89-5930-4D67-B5AC-33726E11D6FB}"/>
    <cellStyle name="Normal 8 4 2 3 4" xfId="9514" xr:uid="{0BB9F54D-F1F8-49D9-A10D-A5DDAF80A6F7}"/>
    <cellStyle name="Normal 8 4 2 4" xfId="1388" xr:uid="{00000000-0005-0000-0000-0000E91D0000}"/>
    <cellStyle name="Normal 8 4 2 4 2" xfId="3618" xr:uid="{00000000-0005-0000-0000-0000EA1D0000}"/>
    <cellStyle name="Normal 8 4 2 4 2 2" xfId="7840" xr:uid="{00000000-0005-0000-0000-0000EB1D0000}"/>
    <cellStyle name="Normal 8 4 2 4 2 2 2" xfId="16287" xr:uid="{DE9591BF-5951-45C6-A297-90E75A66B615}"/>
    <cellStyle name="Normal 8 4 2 4 2 3" xfId="12072" xr:uid="{7DBA3A36-23AE-4870-A320-747B9356BE36}"/>
    <cellStyle name="Normal 8 4 2 4 3" xfId="5695" xr:uid="{00000000-0005-0000-0000-0000EC1D0000}"/>
    <cellStyle name="Normal 8 4 2 4 3 2" xfId="14142" xr:uid="{E8C36E09-6A4E-423E-8D5F-EBF79E0C049D}"/>
    <cellStyle name="Normal 8 4 2 4 4" xfId="9927" xr:uid="{AA010561-6024-4BAA-8563-D7A711AB8E48}"/>
    <cellStyle name="Normal 8 4 2 5" xfId="1801" xr:uid="{00000000-0005-0000-0000-0000ED1D0000}"/>
    <cellStyle name="Normal 8 4 2 5 2" xfId="4031" xr:uid="{00000000-0005-0000-0000-0000EE1D0000}"/>
    <cellStyle name="Normal 8 4 2 5 2 2" xfId="8253" xr:uid="{00000000-0005-0000-0000-0000EF1D0000}"/>
    <cellStyle name="Normal 8 4 2 5 2 2 2" xfId="16700" xr:uid="{EB9696A2-D319-4B63-8E8F-B895812BC948}"/>
    <cellStyle name="Normal 8 4 2 5 2 3" xfId="12485" xr:uid="{AD43967A-33DD-46E1-9A44-810EE60A84F2}"/>
    <cellStyle name="Normal 8 4 2 5 3" xfId="6108" xr:uid="{00000000-0005-0000-0000-0000F01D0000}"/>
    <cellStyle name="Normal 8 4 2 5 3 2" xfId="14555" xr:uid="{9A585F46-D201-490B-AE4F-84D25285FC83}"/>
    <cellStyle name="Normal 8 4 2 5 4" xfId="10340" xr:uid="{6B676861-B56B-401E-BFC8-DEDDA00EA5C0}"/>
    <cellStyle name="Normal 8 4 2 6" xfId="2215" xr:uid="{00000000-0005-0000-0000-0000F11D0000}"/>
    <cellStyle name="Normal 8 4 2 6 2" xfId="4444" xr:uid="{00000000-0005-0000-0000-0000F21D0000}"/>
    <cellStyle name="Normal 8 4 2 6 2 2" xfId="8666" xr:uid="{00000000-0005-0000-0000-0000F31D0000}"/>
    <cellStyle name="Normal 8 4 2 6 2 2 2" xfId="17113" xr:uid="{25E13B1D-18F6-4526-9AC0-25AC18577B62}"/>
    <cellStyle name="Normal 8 4 2 6 2 3" xfId="12898" xr:uid="{47285CFE-FDAE-4553-B9BD-D3F5CCCDE13E}"/>
    <cellStyle name="Normal 8 4 2 6 3" xfId="6521" xr:uid="{00000000-0005-0000-0000-0000F41D0000}"/>
    <cellStyle name="Normal 8 4 2 6 3 2" xfId="14968" xr:uid="{B908536B-D64A-4D8A-B909-1944362F376F}"/>
    <cellStyle name="Normal 8 4 2 6 4" xfId="10753" xr:uid="{C4926FF1-67E2-4D19-B4AE-0D7E118D61BE}"/>
    <cellStyle name="Normal 8 4 2 7" xfId="2651" xr:uid="{00000000-0005-0000-0000-0000F51D0000}"/>
    <cellStyle name="Normal 8 4 2 7 2" xfId="6934" xr:uid="{00000000-0005-0000-0000-0000F61D0000}"/>
    <cellStyle name="Normal 8 4 2 7 2 2" xfId="15381" xr:uid="{9E917D89-6831-4B12-A1F6-AFA2F39DCC85}"/>
    <cellStyle name="Normal 8 4 2 7 3" xfId="11166" xr:uid="{EC9C8DD8-DC7D-482F-B268-106BE277C170}"/>
    <cellStyle name="Normal 8 4 2 8" xfId="4869" xr:uid="{00000000-0005-0000-0000-0000F71D0000}"/>
    <cellStyle name="Normal 8 4 2 8 2" xfId="13316" xr:uid="{88399DCD-7DA8-4A3A-8267-6CDC6AAE8C2C}"/>
    <cellStyle name="Normal 8 4 2 9" xfId="9101" xr:uid="{6E3DFF09-1BAF-469C-9355-4272DE44861E}"/>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6" xr:uid="{E72E559B-AB9D-4A1B-B5DA-2FD380191961}"/>
    <cellStyle name="Normal 8 4 3 2 2 3" xfId="11661" xr:uid="{4DE54704-EF92-4367-A0C2-17317AC5338A}"/>
    <cellStyle name="Normal 8 4 3 2 3" xfId="5284" xr:uid="{00000000-0005-0000-0000-0000FC1D0000}"/>
    <cellStyle name="Normal 8 4 3 2 3 2" xfId="13731" xr:uid="{DCE68E94-BA7D-41FB-8E28-49CFF8A40B9C}"/>
    <cellStyle name="Normal 8 4 3 2 4" xfId="9516" xr:uid="{E0779427-B7E6-426D-BF4C-7077425CA27E}"/>
    <cellStyle name="Normal 8 4 3 3" xfId="1390" xr:uid="{00000000-0005-0000-0000-0000FD1D0000}"/>
    <cellStyle name="Normal 8 4 3 3 2" xfId="3620" xr:uid="{00000000-0005-0000-0000-0000FE1D0000}"/>
    <cellStyle name="Normal 8 4 3 3 2 2" xfId="7842" xr:uid="{00000000-0005-0000-0000-0000FF1D0000}"/>
    <cellStyle name="Normal 8 4 3 3 2 2 2" xfId="16289" xr:uid="{CCFAF5EE-617B-4FD3-9BB7-A8B8E2FB1E32}"/>
    <cellStyle name="Normal 8 4 3 3 2 3" xfId="12074" xr:uid="{7B34F5D9-F1DF-48DF-B66E-E16017643519}"/>
    <cellStyle name="Normal 8 4 3 3 3" xfId="5697" xr:uid="{00000000-0005-0000-0000-0000001E0000}"/>
    <cellStyle name="Normal 8 4 3 3 3 2" xfId="14144" xr:uid="{979FCE98-15B4-4A62-B80D-6CB27D9E1470}"/>
    <cellStyle name="Normal 8 4 3 3 4" xfId="9929" xr:uid="{B86562E9-0D40-41D3-9FFC-FBC306F1FB32}"/>
    <cellStyle name="Normal 8 4 3 4" xfId="1803" xr:uid="{00000000-0005-0000-0000-0000011E0000}"/>
    <cellStyle name="Normal 8 4 3 4 2" xfId="4033" xr:uid="{00000000-0005-0000-0000-0000021E0000}"/>
    <cellStyle name="Normal 8 4 3 4 2 2" xfId="8255" xr:uid="{00000000-0005-0000-0000-0000031E0000}"/>
    <cellStyle name="Normal 8 4 3 4 2 2 2" xfId="16702" xr:uid="{15428814-8C5B-45D2-9A52-71A1A442CD6F}"/>
    <cellStyle name="Normal 8 4 3 4 2 3" xfId="12487" xr:uid="{28D40064-B1CF-465F-BE1B-87114CF64FBB}"/>
    <cellStyle name="Normal 8 4 3 4 3" xfId="6110" xr:uid="{00000000-0005-0000-0000-0000041E0000}"/>
    <cellStyle name="Normal 8 4 3 4 3 2" xfId="14557" xr:uid="{D53532F1-B274-497F-9772-177EA6E90C15}"/>
    <cellStyle name="Normal 8 4 3 4 4" xfId="10342" xr:uid="{5F68D1C7-032B-46DC-95BB-F1BE4EC18E92}"/>
    <cellStyle name="Normal 8 4 3 5" xfId="2217" xr:uid="{00000000-0005-0000-0000-0000051E0000}"/>
    <cellStyle name="Normal 8 4 3 5 2" xfId="4446" xr:uid="{00000000-0005-0000-0000-0000061E0000}"/>
    <cellStyle name="Normal 8 4 3 5 2 2" xfId="8668" xr:uid="{00000000-0005-0000-0000-0000071E0000}"/>
    <cellStyle name="Normal 8 4 3 5 2 2 2" xfId="17115" xr:uid="{A71602A9-08E1-4420-844E-3ED0741045F7}"/>
    <cellStyle name="Normal 8 4 3 5 2 3" xfId="12900" xr:uid="{DC818CAC-FF10-40D5-BE8B-A9E0FF82FC1C}"/>
    <cellStyle name="Normal 8 4 3 5 3" xfId="6523" xr:uid="{00000000-0005-0000-0000-0000081E0000}"/>
    <cellStyle name="Normal 8 4 3 5 3 2" xfId="14970" xr:uid="{A80355CA-BADD-449A-A636-C8F9695295D8}"/>
    <cellStyle name="Normal 8 4 3 5 4" xfId="10755" xr:uid="{0FCAFBAD-00C5-4FBE-B81B-CF40239B649A}"/>
    <cellStyle name="Normal 8 4 3 6" xfId="2653" xr:uid="{00000000-0005-0000-0000-0000091E0000}"/>
    <cellStyle name="Normal 8 4 3 6 2" xfId="6936" xr:uid="{00000000-0005-0000-0000-00000A1E0000}"/>
    <cellStyle name="Normal 8 4 3 6 2 2" xfId="15383" xr:uid="{CFEB48FC-72C5-406B-A54C-7D0A53E71C18}"/>
    <cellStyle name="Normal 8 4 3 6 3" xfId="11168" xr:uid="{F6E36E55-33EC-4344-A23D-D035EE4B7532}"/>
    <cellStyle name="Normal 8 4 3 7" xfId="4871" xr:uid="{00000000-0005-0000-0000-00000B1E0000}"/>
    <cellStyle name="Normal 8 4 3 7 2" xfId="13318" xr:uid="{E925523E-3854-4727-B09B-2397ADCD4D42}"/>
    <cellStyle name="Normal 8 4 3 8" xfId="9103" xr:uid="{C5F93589-C7DB-47AE-940D-2D105D8C01C1}"/>
    <cellStyle name="Normal 8 4 4" xfId="970" xr:uid="{00000000-0005-0000-0000-00000C1E0000}"/>
    <cellStyle name="Normal 8 4 4 2" xfId="3204" xr:uid="{00000000-0005-0000-0000-00000D1E0000}"/>
    <cellStyle name="Normal 8 4 4 2 2" xfId="7426" xr:uid="{00000000-0005-0000-0000-00000E1E0000}"/>
    <cellStyle name="Normal 8 4 4 2 2 2" xfId="15873" xr:uid="{DF9E7AF2-C7ED-4B57-AC42-2602FA7E2D55}"/>
    <cellStyle name="Normal 8 4 4 2 3" xfId="11658" xr:uid="{9A10BE74-1455-400E-8FD7-D8747584011D}"/>
    <cellStyle name="Normal 8 4 4 3" xfId="5281" xr:uid="{00000000-0005-0000-0000-00000F1E0000}"/>
    <cellStyle name="Normal 8 4 4 3 2" xfId="13728" xr:uid="{D96128C6-37F5-4622-9F62-7D17A63B83F8}"/>
    <cellStyle name="Normal 8 4 4 4" xfId="9513" xr:uid="{2CA3C212-198C-47AA-84DC-D7F759331276}"/>
    <cellStyle name="Normal 8 4 5" xfId="1387" xr:uid="{00000000-0005-0000-0000-0000101E0000}"/>
    <cellStyle name="Normal 8 4 5 2" xfId="3617" xr:uid="{00000000-0005-0000-0000-0000111E0000}"/>
    <cellStyle name="Normal 8 4 5 2 2" xfId="7839" xr:uid="{00000000-0005-0000-0000-0000121E0000}"/>
    <cellStyle name="Normal 8 4 5 2 2 2" xfId="16286" xr:uid="{7CBBC49D-7EF1-4D47-A19C-91A27AB7F83A}"/>
    <cellStyle name="Normal 8 4 5 2 3" xfId="12071" xr:uid="{23680C8D-4561-4A87-805D-838D2772F32C}"/>
    <cellStyle name="Normal 8 4 5 3" xfId="5694" xr:uid="{00000000-0005-0000-0000-0000131E0000}"/>
    <cellStyle name="Normal 8 4 5 3 2" xfId="14141" xr:uid="{D1B6C049-8F3D-47C5-A136-BE8363C0DCA2}"/>
    <cellStyle name="Normal 8 4 5 4" xfId="9926" xr:uid="{F4E453E0-01AE-4B6A-9613-32B71E2C49A8}"/>
    <cellStyle name="Normal 8 4 6" xfId="1800" xr:uid="{00000000-0005-0000-0000-0000141E0000}"/>
    <cellStyle name="Normal 8 4 6 2" xfId="4030" xr:uid="{00000000-0005-0000-0000-0000151E0000}"/>
    <cellStyle name="Normal 8 4 6 2 2" xfId="8252" xr:uid="{00000000-0005-0000-0000-0000161E0000}"/>
    <cellStyle name="Normal 8 4 6 2 2 2" xfId="16699" xr:uid="{5854B475-BCBA-4139-B026-E68AEC3008F0}"/>
    <cellStyle name="Normal 8 4 6 2 3" xfId="12484" xr:uid="{3901B6E9-A4B3-4C69-B1C3-A4CB46EF6D0F}"/>
    <cellStyle name="Normal 8 4 6 3" xfId="6107" xr:uid="{00000000-0005-0000-0000-0000171E0000}"/>
    <cellStyle name="Normal 8 4 6 3 2" xfId="14554" xr:uid="{0DDA3151-9A94-4B9D-AC34-C77D43FDE320}"/>
    <cellStyle name="Normal 8 4 6 4" xfId="10339" xr:uid="{652CFCA6-D8D4-4E4F-B50D-8371DB59AC21}"/>
    <cellStyle name="Normal 8 4 7" xfId="2214" xr:uid="{00000000-0005-0000-0000-0000181E0000}"/>
    <cellStyle name="Normal 8 4 7 2" xfId="4443" xr:uid="{00000000-0005-0000-0000-0000191E0000}"/>
    <cellStyle name="Normal 8 4 7 2 2" xfId="8665" xr:uid="{00000000-0005-0000-0000-00001A1E0000}"/>
    <cellStyle name="Normal 8 4 7 2 2 2" xfId="17112" xr:uid="{5CEDC47B-DBFC-402F-8F78-11C1BD0780B6}"/>
    <cellStyle name="Normal 8 4 7 2 3" xfId="12897" xr:uid="{21B0D539-B583-4DF4-8FB9-FC3D2A8A9BF3}"/>
    <cellStyle name="Normal 8 4 7 3" xfId="6520" xr:uid="{00000000-0005-0000-0000-00001B1E0000}"/>
    <cellStyle name="Normal 8 4 7 3 2" xfId="14967" xr:uid="{A64F3B66-62D5-4A76-B7E3-6CEB573D74F7}"/>
    <cellStyle name="Normal 8 4 7 4" xfId="10752" xr:uid="{72318B9E-C46C-4BFE-9B78-887F800057DA}"/>
    <cellStyle name="Normal 8 4 8" xfId="2650" xr:uid="{00000000-0005-0000-0000-00001C1E0000}"/>
    <cellStyle name="Normal 8 4 8 2" xfId="6933" xr:uid="{00000000-0005-0000-0000-00001D1E0000}"/>
    <cellStyle name="Normal 8 4 8 2 2" xfId="15380" xr:uid="{23741468-6611-48CE-8FA7-6F1D2162B2B4}"/>
    <cellStyle name="Normal 8 4 8 3" xfId="11165" xr:uid="{C148F3B3-EF28-44F3-AB0E-3EE7CF955612}"/>
    <cellStyle name="Normal 8 4 9" xfId="4868" xr:uid="{00000000-0005-0000-0000-00001E1E0000}"/>
    <cellStyle name="Normal 8 4 9 2" xfId="13315" xr:uid="{72ECEC68-17B9-4BC7-A7D7-0396AE939D2D}"/>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78" xr:uid="{12515021-89FF-482B-AA0D-AF44936DFD79}"/>
    <cellStyle name="Normal 8 5 2 2 2 3" xfId="11663" xr:uid="{30C0497F-D732-433E-84A8-3569F9C34545}"/>
    <cellStyle name="Normal 8 5 2 2 3" xfId="5286" xr:uid="{00000000-0005-0000-0000-0000241E0000}"/>
    <cellStyle name="Normal 8 5 2 2 3 2" xfId="13733" xr:uid="{4D018AC7-7056-4B10-AE05-69A3A66CD92B}"/>
    <cellStyle name="Normal 8 5 2 2 4" xfId="9518" xr:uid="{D03D5345-A9F1-4C5B-9BD4-9DFCAA11CCDC}"/>
    <cellStyle name="Normal 8 5 2 3" xfId="1392" xr:uid="{00000000-0005-0000-0000-0000251E0000}"/>
    <cellStyle name="Normal 8 5 2 3 2" xfId="3622" xr:uid="{00000000-0005-0000-0000-0000261E0000}"/>
    <cellStyle name="Normal 8 5 2 3 2 2" xfId="7844" xr:uid="{00000000-0005-0000-0000-0000271E0000}"/>
    <cellStyle name="Normal 8 5 2 3 2 2 2" xfId="16291" xr:uid="{A9037CA0-A711-4E4B-9BB8-65E2825EAB1D}"/>
    <cellStyle name="Normal 8 5 2 3 2 3" xfId="12076" xr:uid="{54F48AB0-EF69-43CD-843A-E336CD1236AD}"/>
    <cellStyle name="Normal 8 5 2 3 3" xfId="5699" xr:uid="{00000000-0005-0000-0000-0000281E0000}"/>
    <cellStyle name="Normal 8 5 2 3 3 2" xfId="14146" xr:uid="{AA63B475-2C1C-46A3-97E6-91F93E4B9FB3}"/>
    <cellStyle name="Normal 8 5 2 3 4" xfId="9931" xr:uid="{FA1B7629-1037-42FF-8B2F-49CA1F3D7264}"/>
    <cellStyle name="Normal 8 5 2 4" xfId="1805" xr:uid="{00000000-0005-0000-0000-0000291E0000}"/>
    <cellStyle name="Normal 8 5 2 4 2" xfId="4035" xr:uid="{00000000-0005-0000-0000-00002A1E0000}"/>
    <cellStyle name="Normal 8 5 2 4 2 2" xfId="8257" xr:uid="{00000000-0005-0000-0000-00002B1E0000}"/>
    <cellStyle name="Normal 8 5 2 4 2 2 2" xfId="16704" xr:uid="{E1C8FD41-42A2-4D44-A409-30CBC8C5A152}"/>
    <cellStyle name="Normal 8 5 2 4 2 3" xfId="12489" xr:uid="{694649D6-AA95-4D93-A9F3-0171EDC501B9}"/>
    <cellStyle name="Normal 8 5 2 4 3" xfId="6112" xr:uid="{00000000-0005-0000-0000-00002C1E0000}"/>
    <cellStyle name="Normal 8 5 2 4 3 2" xfId="14559" xr:uid="{735A26B4-3F02-48CA-B68B-67EBCC7D9502}"/>
    <cellStyle name="Normal 8 5 2 4 4" xfId="10344" xr:uid="{9259EF5E-4F97-430A-82A1-0730D3E7362D}"/>
    <cellStyle name="Normal 8 5 2 5" xfId="2219" xr:uid="{00000000-0005-0000-0000-00002D1E0000}"/>
    <cellStyle name="Normal 8 5 2 5 2" xfId="4448" xr:uid="{00000000-0005-0000-0000-00002E1E0000}"/>
    <cellStyle name="Normal 8 5 2 5 2 2" xfId="8670" xr:uid="{00000000-0005-0000-0000-00002F1E0000}"/>
    <cellStyle name="Normal 8 5 2 5 2 2 2" xfId="17117" xr:uid="{8EEEE6EF-60AE-47B9-8274-54DF042AC65C}"/>
    <cellStyle name="Normal 8 5 2 5 2 3" xfId="12902" xr:uid="{2EF63C24-F39C-4652-A41B-54D7F902689E}"/>
    <cellStyle name="Normal 8 5 2 5 3" xfId="6525" xr:uid="{00000000-0005-0000-0000-0000301E0000}"/>
    <cellStyle name="Normal 8 5 2 5 3 2" xfId="14972" xr:uid="{8EC2AC7E-3D65-4051-914B-B96339E94F39}"/>
    <cellStyle name="Normal 8 5 2 5 4" xfId="10757" xr:uid="{C81854EC-F7C0-499D-80CA-0A5C8F7D15A3}"/>
    <cellStyle name="Normal 8 5 2 6" xfId="2655" xr:uid="{00000000-0005-0000-0000-0000311E0000}"/>
    <cellStyle name="Normal 8 5 2 6 2" xfId="6938" xr:uid="{00000000-0005-0000-0000-0000321E0000}"/>
    <cellStyle name="Normal 8 5 2 6 2 2" xfId="15385" xr:uid="{F47B54C4-5A09-4C1B-A2DD-309A17854911}"/>
    <cellStyle name="Normal 8 5 2 6 3" xfId="11170" xr:uid="{3BEE23E2-D959-4CD7-BFA5-3977EE29368F}"/>
    <cellStyle name="Normal 8 5 2 7" xfId="4873" xr:uid="{00000000-0005-0000-0000-0000331E0000}"/>
    <cellStyle name="Normal 8 5 2 7 2" xfId="13320" xr:uid="{02F8EDE8-AB54-4E36-8AD7-B6CDE160AD85}"/>
    <cellStyle name="Normal 8 5 2 8" xfId="9105" xr:uid="{074324FC-C945-45D0-8742-9DC43BAAB6BE}"/>
    <cellStyle name="Normal 8 5 3" xfId="974" xr:uid="{00000000-0005-0000-0000-0000341E0000}"/>
    <cellStyle name="Normal 8 5 3 2" xfId="3208" xr:uid="{00000000-0005-0000-0000-0000351E0000}"/>
    <cellStyle name="Normal 8 5 3 2 2" xfId="7430" xr:uid="{00000000-0005-0000-0000-0000361E0000}"/>
    <cellStyle name="Normal 8 5 3 2 2 2" xfId="15877" xr:uid="{20616031-5CEC-412A-94D2-79B54ECD2C1D}"/>
    <cellStyle name="Normal 8 5 3 2 3" xfId="11662" xr:uid="{15F045D5-F7C5-4F72-B824-0DE5CE62E171}"/>
    <cellStyle name="Normal 8 5 3 3" xfId="5285" xr:uid="{00000000-0005-0000-0000-0000371E0000}"/>
    <cellStyle name="Normal 8 5 3 3 2" xfId="13732" xr:uid="{A7A8F3E9-0D58-431F-BC40-650A2D824681}"/>
    <cellStyle name="Normal 8 5 3 4" xfId="9517" xr:uid="{5A2FB349-8B33-4485-A9C8-755429F0D849}"/>
    <cellStyle name="Normal 8 5 4" xfId="1391" xr:uid="{00000000-0005-0000-0000-0000381E0000}"/>
    <cellStyle name="Normal 8 5 4 2" xfId="3621" xr:uid="{00000000-0005-0000-0000-0000391E0000}"/>
    <cellStyle name="Normal 8 5 4 2 2" xfId="7843" xr:uid="{00000000-0005-0000-0000-00003A1E0000}"/>
    <cellStyle name="Normal 8 5 4 2 2 2" xfId="16290" xr:uid="{C0173D97-761F-4F8E-9D51-AD23DAB22BC3}"/>
    <cellStyle name="Normal 8 5 4 2 3" xfId="12075" xr:uid="{AC374784-18CC-45A4-AB70-F76789035E9D}"/>
    <cellStyle name="Normal 8 5 4 3" xfId="5698" xr:uid="{00000000-0005-0000-0000-00003B1E0000}"/>
    <cellStyle name="Normal 8 5 4 3 2" xfId="14145" xr:uid="{FA5F7514-7B4C-4D20-8843-FD31985C525B}"/>
    <cellStyle name="Normal 8 5 4 4" xfId="9930" xr:uid="{EF55ECE8-70D0-4BD3-B7B3-98E24516A34B}"/>
    <cellStyle name="Normal 8 5 5" xfId="1804" xr:uid="{00000000-0005-0000-0000-00003C1E0000}"/>
    <cellStyle name="Normal 8 5 5 2" xfId="4034" xr:uid="{00000000-0005-0000-0000-00003D1E0000}"/>
    <cellStyle name="Normal 8 5 5 2 2" xfId="8256" xr:uid="{00000000-0005-0000-0000-00003E1E0000}"/>
    <cellStyle name="Normal 8 5 5 2 2 2" xfId="16703" xr:uid="{0815048B-1F49-4892-8AB3-3E82E23A7F30}"/>
    <cellStyle name="Normal 8 5 5 2 3" xfId="12488" xr:uid="{6593238D-45FC-4531-B4EC-8534F38F058A}"/>
    <cellStyle name="Normal 8 5 5 3" xfId="6111" xr:uid="{00000000-0005-0000-0000-00003F1E0000}"/>
    <cellStyle name="Normal 8 5 5 3 2" xfId="14558" xr:uid="{28443567-7DE4-44D1-9A1D-89F2E1EB24FA}"/>
    <cellStyle name="Normal 8 5 5 4" xfId="10343" xr:uid="{B0F38071-2A44-424E-9A36-473EE1595491}"/>
    <cellStyle name="Normal 8 5 6" xfId="2218" xr:uid="{00000000-0005-0000-0000-0000401E0000}"/>
    <cellStyle name="Normal 8 5 6 2" xfId="4447" xr:uid="{00000000-0005-0000-0000-0000411E0000}"/>
    <cellStyle name="Normal 8 5 6 2 2" xfId="8669" xr:uid="{00000000-0005-0000-0000-0000421E0000}"/>
    <cellStyle name="Normal 8 5 6 2 2 2" xfId="17116" xr:uid="{F846A84A-4FBF-4EA8-A0E6-995D7AD06702}"/>
    <cellStyle name="Normal 8 5 6 2 3" xfId="12901" xr:uid="{35A73781-4969-4418-A29F-789184470A60}"/>
    <cellStyle name="Normal 8 5 6 3" xfId="6524" xr:uid="{00000000-0005-0000-0000-0000431E0000}"/>
    <cellStyle name="Normal 8 5 6 3 2" xfId="14971" xr:uid="{09F82960-54B9-470F-B149-BE9B56FF537A}"/>
    <cellStyle name="Normal 8 5 6 4" xfId="10756" xr:uid="{FAA7D60E-EF15-47AF-9F42-FC4F092A1796}"/>
    <cellStyle name="Normal 8 5 7" xfId="2654" xr:uid="{00000000-0005-0000-0000-0000441E0000}"/>
    <cellStyle name="Normal 8 5 7 2" xfId="6937" xr:uid="{00000000-0005-0000-0000-0000451E0000}"/>
    <cellStyle name="Normal 8 5 7 2 2" xfId="15384" xr:uid="{040D5F38-24D4-4A1E-BAE8-6F0ACC1D9621}"/>
    <cellStyle name="Normal 8 5 7 3" xfId="11169" xr:uid="{81569049-F5C7-48E4-807C-9B334F8C6B9E}"/>
    <cellStyle name="Normal 8 5 8" xfId="4872" xr:uid="{00000000-0005-0000-0000-0000461E0000}"/>
    <cellStyle name="Normal 8 5 8 2" xfId="13319" xr:uid="{7C90D036-C03D-4F81-852E-CBA80C95DF04}"/>
    <cellStyle name="Normal 8 5 9" xfId="9104" xr:uid="{EC7226FA-0FBD-437D-BA95-270627598AB9}"/>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79" xr:uid="{AA4176B3-E3F2-4210-AA2D-2BF04C3F02B2}"/>
    <cellStyle name="Normal 8 6 2 2 3" xfId="11664" xr:uid="{92E06191-8DC7-4560-8827-71C874C4904D}"/>
    <cellStyle name="Normal 8 6 2 3" xfId="5287" xr:uid="{00000000-0005-0000-0000-00004B1E0000}"/>
    <cellStyle name="Normal 8 6 2 3 2" xfId="13734" xr:uid="{89D47B42-5B83-4B8C-868D-3025948D3818}"/>
    <cellStyle name="Normal 8 6 2 4" xfId="9519" xr:uid="{F02B2197-83A6-4AD8-B2FC-527C0DFD5901}"/>
    <cellStyle name="Normal 8 6 3" xfId="1393" xr:uid="{00000000-0005-0000-0000-00004C1E0000}"/>
    <cellStyle name="Normal 8 6 3 2" xfId="3623" xr:uid="{00000000-0005-0000-0000-00004D1E0000}"/>
    <cellStyle name="Normal 8 6 3 2 2" xfId="7845" xr:uid="{00000000-0005-0000-0000-00004E1E0000}"/>
    <cellStyle name="Normal 8 6 3 2 2 2" xfId="16292" xr:uid="{C86B8CF5-73DE-4947-B06E-6473B2ACD595}"/>
    <cellStyle name="Normal 8 6 3 2 3" xfId="12077" xr:uid="{78B98962-E98E-4E21-A605-5E4F293FB7F9}"/>
    <cellStyle name="Normal 8 6 3 3" xfId="5700" xr:uid="{00000000-0005-0000-0000-00004F1E0000}"/>
    <cellStyle name="Normal 8 6 3 3 2" xfId="14147" xr:uid="{A4102E74-B80D-4DEB-A62A-51D8A61F4CD3}"/>
    <cellStyle name="Normal 8 6 3 4" xfId="9932" xr:uid="{2CCFEBF0-9F0D-44B1-8269-163098189FF3}"/>
    <cellStyle name="Normal 8 6 4" xfId="1806" xr:uid="{00000000-0005-0000-0000-0000501E0000}"/>
    <cellStyle name="Normal 8 6 4 2" xfId="4036" xr:uid="{00000000-0005-0000-0000-0000511E0000}"/>
    <cellStyle name="Normal 8 6 4 2 2" xfId="8258" xr:uid="{00000000-0005-0000-0000-0000521E0000}"/>
    <cellStyle name="Normal 8 6 4 2 2 2" xfId="16705" xr:uid="{9CF4CEDD-685F-4BA1-8DF6-BAEA6BA41CE6}"/>
    <cellStyle name="Normal 8 6 4 2 3" xfId="12490" xr:uid="{725E15CA-028B-457D-A964-42D830A65211}"/>
    <cellStyle name="Normal 8 6 4 3" xfId="6113" xr:uid="{00000000-0005-0000-0000-0000531E0000}"/>
    <cellStyle name="Normal 8 6 4 3 2" xfId="14560" xr:uid="{988EC3B5-939D-4875-B11D-0F945867E305}"/>
    <cellStyle name="Normal 8 6 4 4" xfId="10345" xr:uid="{63D40123-92BD-4728-9A56-8903B9621EDB}"/>
    <cellStyle name="Normal 8 6 5" xfId="2220" xr:uid="{00000000-0005-0000-0000-0000541E0000}"/>
    <cellStyle name="Normal 8 6 5 2" xfId="4449" xr:uid="{00000000-0005-0000-0000-0000551E0000}"/>
    <cellStyle name="Normal 8 6 5 2 2" xfId="8671" xr:uid="{00000000-0005-0000-0000-0000561E0000}"/>
    <cellStyle name="Normal 8 6 5 2 2 2" xfId="17118" xr:uid="{107915AC-9CBA-4584-A990-D745BCFE27AC}"/>
    <cellStyle name="Normal 8 6 5 2 3" xfId="12903" xr:uid="{0DB16331-76B0-41BD-8113-CF32D87E0317}"/>
    <cellStyle name="Normal 8 6 5 3" xfId="6526" xr:uid="{00000000-0005-0000-0000-0000571E0000}"/>
    <cellStyle name="Normal 8 6 5 3 2" xfId="14973" xr:uid="{859DD91D-DAA2-40A9-B1F9-38DE92EBDEED}"/>
    <cellStyle name="Normal 8 6 5 4" xfId="10758" xr:uid="{3921BC75-47FA-42C5-92FC-7B299FD4D9F6}"/>
    <cellStyle name="Normal 8 6 6" xfId="2656" xr:uid="{00000000-0005-0000-0000-0000581E0000}"/>
    <cellStyle name="Normal 8 6 6 2" xfId="6939" xr:uid="{00000000-0005-0000-0000-0000591E0000}"/>
    <cellStyle name="Normal 8 6 6 2 2" xfId="15386" xr:uid="{00F19313-5312-48DC-9966-B7C9E1D30C1A}"/>
    <cellStyle name="Normal 8 6 6 3" xfId="11171" xr:uid="{9CA0117A-8473-48DD-931C-CEEA06A7BF75}"/>
    <cellStyle name="Normal 8 6 7" xfId="4874" xr:uid="{00000000-0005-0000-0000-00005A1E0000}"/>
    <cellStyle name="Normal 8 6 7 2" xfId="13321" xr:uid="{7DCF16F6-82B5-4A2F-ABF8-90DE594661D9}"/>
    <cellStyle name="Normal 8 6 8" xfId="9106" xr:uid="{3626C96C-9EE5-4FE5-91F0-B39876ED2FDA}"/>
    <cellStyle name="Normal 8 7" xfId="945" xr:uid="{00000000-0005-0000-0000-00005B1E0000}"/>
    <cellStyle name="Normal 8 7 2" xfId="3179" xr:uid="{00000000-0005-0000-0000-00005C1E0000}"/>
    <cellStyle name="Normal 8 7 2 2" xfId="7401" xr:uid="{00000000-0005-0000-0000-00005D1E0000}"/>
    <cellStyle name="Normal 8 7 2 2 2" xfId="15848" xr:uid="{2D0BDE68-2A37-4FEE-A931-6893333EB178}"/>
    <cellStyle name="Normal 8 7 2 3" xfId="11633" xr:uid="{DC60E416-8EE3-43AC-9093-1E55D8B929CB}"/>
    <cellStyle name="Normal 8 7 3" xfId="5256" xr:uid="{00000000-0005-0000-0000-00005E1E0000}"/>
    <cellStyle name="Normal 8 7 3 2" xfId="13703" xr:uid="{755636E4-15B7-4774-814F-F4A2E3E0D959}"/>
    <cellStyle name="Normal 8 7 4" xfId="9488" xr:uid="{4995A4E2-419C-467B-8A5B-8C1593A6CA90}"/>
    <cellStyle name="Normal 8 8" xfId="1362" xr:uid="{00000000-0005-0000-0000-00005F1E0000}"/>
    <cellStyle name="Normal 8 8 2" xfId="3592" xr:uid="{00000000-0005-0000-0000-0000601E0000}"/>
    <cellStyle name="Normal 8 8 2 2" xfId="7814" xr:uid="{00000000-0005-0000-0000-0000611E0000}"/>
    <cellStyle name="Normal 8 8 2 2 2" xfId="16261" xr:uid="{B12BBF74-B54F-4526-8A60-FD3CDCAF338C}"/>
    <cellStyle name="Normal 8 8 2 3" xfId="12046" xr:uid="{AC8A86F1-D6A0-4BDC-A35D-3E3FA1EEBC5D}"/>
    <cellStyle name="Normal 8 8 3" xfId="5669" xr:uid="{00000000-0005-0000-0000-0000621E0000}"/>
    <cellStyle name="Normal 8 8 3 2" xfId="14116" xr:uid="{A432D967-3284-43C2-85E4-FF830FA44787}"/>
    <cellStyle name="Normal 8 8 4" xfId="9901" xr:uid="{8EDB3A47-4ABD-4ED9-9A97-82C1501A17BF}"/>
    <cellStyle name="Normal 8 9" xfId="1775" xr:uid="{00000000-0005-0000-0000-0000631E0000}"/>
    <cellStyle name="Normal 8 9 2" xfId="4005" xr:uid="{00000000-0005-0000-0000-0000641E0000}"/>
    <cellStyle name="Normal 8 9 2 2" xfId="8227" xr:uid="{00000000-0005-0000-0000-0000651E0000}"/>
    <cellStyle name="Normal 8 9 2 2 2" xfId="16674" xr:uid="{B9234140-39DB-4A29-836E-8E7D70085E18}"/>
    <cellStyle name="Normal 8 9 2 3" xfId="12459" xr:uid="{6A5A0B74-1423-42EC-B274-2BD23830702C}"/>
    <cellStyle name="Normal 8 9 3" xfId="6082" xr:uid="{00000000-0005-0000-0000-0000661E0000}"/>
    <cellStyle name="Normal 8 9 3 2" xfId="14529" xr:uid="{7C4BAA1D-3EED-4808-AE97-55A3CF7288C3}"/>
    <cellStyle name="Normal 8 9 4" xfId="10314" xr:uid="{BEBEA88D-B7F7-49D7-9D8B-53A16C45CA19}"/>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87" xr:uid="{078DE691-A270-4FE3-92DD-DCB59AD877BA}"/>
    <cellStyle name="Normal 9 2 10 3" xfId="11172" xr:uid="{6C94E394-638C-48E2-9763-856FD8038AE4}"/>
    <cellStyle name="Normal 9 2 11" xfId="4875" xr:uid="{00000000-0005-0000-0000-00006B1E0000}"/>
    <cellStyle name="Normal 9 2 11 2" xfId="13322" xr:uid="{0C85DA32-46BE-490C-BD89-DE2AA2AA9505}"/>
    <cellStyle name="Normal 9 2 12" xfId="9107" xr:uid="{D5716B09-8686-4D9A-BA40-72675303123B}"/>
    <cellStyle name="Normal 9 2 2" xfId="512" xr:uid="{00000000-0005-0000-0000-00006C1E0000}"/>
    <cellStyle name="Normal 9 2 2 10" xfId="4876" xr:uid="{00000000-0005-0000-0000-00006D1E0000}"/>
    <cellStyle name="Normal 9 2 2 10 2" xfId="13323" xr:uid="{3F4B469E-FC26-44FD-8ED3-DD551F81D3C7}"/>
    <cellStyle name="Normal 9 2 2 11" xfId="9108" xr:uid="{48A8FF6B-6775-479B-B806-E4AE2361DE7D}"/>
    <cellStyle name="Normal 9 2 2 2" xfId="513" xr:uid="{00000000-0005-0000-0000-00006E1E0000}"/>
    <cellStyle name="Normal 9 2 2 2 10" xfId="9109" xr:uid="{85397A35-1268-415F-9C1B-A8DD1B9A4087}"/>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4" xr:uid="{2D7FDA47-2593-4EE1-9ED0-E22CE91F9713}"/>
    <cellStyle name="Normal 9 2 2 2 2 2 2 2 3" xfId="11669" xr:uid="{558F592F-AF44-4487-BE5F-A9C3990B37D2}"/>
    <cellStyle name="Normal 9 2 2 2 2 2 2 3" xfId="5292" xr:uid="{00000000-0005-0000-0000-0000741E0000}"/>
    <cellStyle name="Normal 9 2 2 2 2 2 2 3 2" xfId="13739" xr:uid="{D74FE814-7896-46E5-9BBA-BBFBC52F53D2}"/>
    <cellStyle name="Normal 9 2 2 2 2 2 2 4" xfId="9524" xr:uid="{D314B4F7-09C9-4D03-913E-A94C7618459B}"/>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297" xr:uid="{3A2A5BE8-6EFE-4FEF-8A33-9A80E39DC7CB}"/>
    <cellStyle name="Normal 9 2 2 2 2 2 3 2 3" xfId="12082" xr:uid="{7EF55AC0-56B4-4120-B01D-C0F71D4E2315}"/>
    <cellStyle name="Normal 9 2 2 2 2 2 3 3" xfId="5705" xr:uid="{00000000-0005-0000-0000-0000781E0000}"/>
    <cellStyle name="Normal 9 2 2 2 2 2 3 3 2" xfId="14152" xr:uid="{57C50C03-9059-4E0C-892B-C654BCF9F910}"/>
    <cellStyle name="Normal 9 2 2 2 2 2 3 4" xfId="9937" xr:uid="{B62C6400-558B-4E6F-BE89-991682AE1537}"/>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0" xr:uid="{A42651CA-4C74-4EA7-868A-99095892C045}"/>
    <cellStyle name="Normal 9 2 2 2 2 2 4 2 3" xfId="12495" xr:uid="{30B8EDC2-5A17-48B0-8BC0-5E7484CA6747}"/>
    <cellStyle name="Normal 9 2 2 2 2 2 4 3" xfId="6118" xr:uid="{00000000-0005-0000-0000-00007C1E0000}"/>
    <cellStyle name="Normal 9 2 2 2 2 2 4 3 2" xfId="14565" xr:uid="{277A741D-0263-4FD4-8719-7451FCBC1601}"/>
    <cellStyle name="Normal 9 2 2 2 2 2 4 4" xfId="10350" xr:uid="{4E78CD4C-B581-4CFF-8F7C-7BB3C8DD0247}"/>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3" xr:uid="{20BEB6A8-6243-455C-A85D-3C7E3D6A3BE7}"/>
    <cellStyle name="Normal 9 2 2 2 2 2 5 2 3" xfId="12908" xr:uid="{98A3D48B-A6D1-4062-BF27-49782BF879D3}"/>
    <cellStyle name="Normal 9 2 2 2 2 2 5 3" xfId="6531" xr:uid="{00000000-0005-0000-0000-0000801E0000}"/>
    <cellStyle name="Normal 9 2 2 2 2 2 5 3 2" xfId="14978" xr:uid="{63B9EBDE-94C5-447A-A3ED-4E825FE89AC8}"/>
    <cellStyle name="Normal 9 2 2 2 2 2 5 4" xfId="10763" xr:uid="{CE33D633-5054-4D8D-BD4C-A1BBFED67AA4}"/>
    <cellStyle name="Normal 9 2 2 2 2 2 6" xfId="2661" xr:uid="{00000000-0005-0000-0000-0000811E0000}"/>
    <cellStyle name="Normal 9 2 2 2 2 2 6 2" xfId="6944" xr:uid="{00000000-0005-0000-0000-0000821E0000}"/>
    <cellStyle name="Normal 9 2 2 2 2 2 6 2 2" xfId="15391" xr:uid="{92FE43CF-95DC-4A3E-987D-FDAC4ABE5D7C}"/>
    <cellStyle name="Normal 9 2 2 2 2 2 6 3" xfId="11176" xr:uid="{8550D550-C61B-48BE-A1F8-ED8AF23FDBC6}"/>
    <cellStyle name="Normal 9 2 2 2 2 2 7" xfId="4879" xr:uid="{00000000-0005-0000-0000-0000831E0000}"/>
    <cellStyle name="Normal 9 2 2 2 2 2 7 2" xfId="13326" xr:uid="{B933D456-4800-430D-9D8F-3DD88B2BF15E}"/>
    <cellStyle name="Normal 9 2 2 2 2 2 8" xfId="9111" xr:uid="{1BAA2509-A5B6-4C69-A460-D6D58F2B84ED}"/>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3" xr:uid="{D5C28E23-0B5C-4D29-87EC-DF5588F441E2}"/>
    <cellStyle name="Normal 9 2 2 2 2 3 2 3" xfId="11668" xr:uid="{60D8F455-2F83-426E-8A8B-4A7E3A4FF1E9}"/>
    <cellStyle name="Normal 9 2 2 2 2 3 3" xfId="5291" xr:uid="{00000000-0005-0000-0000-0000871E0000}"/>
    <cellStyle name="Normal 9 2 2 2 2 3 3 2" xfId="13738" xr:uid="{36AEC60A-C826-4E04-B67F-DB10B2A9D14A}"/>
    <cellStyle name="Normal 9 2 2 2 2 3 4" xfId="9523" xr:uid="{E5F6F6AF-2ABE-4627-971E-88B5CD4F60A8}"/>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6" xr:uid="{DDE4E466-704F-4B94-AA8D-3B81A221160B}"/>
    <cellStyle name="Normal 9 2 2 2 2 4 2 3" xfId="12081" xr:uid="{E61BC7A2-3B85-4C64-8434-8874A41FCF25}"/>
    <cellStyle name="Normal 9 2 2 2 2 4 3" xfId="5704" xr:uid="{00000000-0005-0000-0000-00008B1E0000}"/>
    <cellStyle name="Normal 9 2 2 2 2 4 3 2" xfId="14151" xr:uid="{1BF249D6-2913-4A31-B61D-FD825A6F4D57}"/>
    <cellStyle name="Normal 9 2 2 2 2 4 4" xfId="9936" xr:uid="{CE0AAAE4-C806-4CDE-BEF9-38F7B879C5C3}"/>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09" xr:uid="{B989E794-E23B-4404-9214-DB7050D50BA4}"/>
    <cellStyle name="Normal 9 2 2 2 2 5 2 3" xfId="12494" xr:uid="{B588CEA8-5933-4052-94BE-47A240C7AE4B}"/>
    <cellStyle name="Normal 9 2 2 2 2 5 3" xfId="6117" xr:uid="{00000000-0005-0000-0000-00008F1E0000}"/>
    <cellStyle name="Normal 9 2 2 2 2 5 3 2" xfId="14564" xr:uid="{FE3147EF-0D89-4EC2-94D6-1AAF0756B732}"/>
    <cellStyle name="Normal 9 2 2 2 2 5 4" xfId="10349" xr:uid="{99A53E7F-320C-4482-8ECE-B3BED4BD35AA}"/>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2" xr:uid="{8CA1BEAE-7895-4120-9AF7-5778D39BE82A}"/>
    <cellStyle name="Normal 9 2 2 2 2 6 2 3" xfId="12907" xr:uid="{DB5022CA-3454-4FFB-BA92-7DA3725EA125}"/>
    <cellStyle name="Normal 9 2 2 2 2 6 3" xfId="6530" xr:uid="{00000000-0005-0000-0000-0000931E0000}"/>
    <cellStyle name="Normal 9 2 2 2 2 6 3 2" xfId="14977" xr:uid="{328FF62E-F5D9-4511-8591-9C9968969CC9}"/>
    <cellStyle name="Normal 9 2 2 2 2 6 4" xfId="10762" xr:uid="{9DB312E9-5007-48C2-9485-7B0C0CEB22AA}"/>
    <cellStyle name="Normal 9 2 2 2 2 7" xfId="2660" xr:uid="{00000000-0005-0000-0000-0000941E0000}"/>
    <cellStyle name="Normal 9 2 2 2 2 7 2" xfId="6943" xr:uid="{00000000-0005-0000-0000-0000951E0000}"/>
    <cellStyle name="Normal 9 2 2 2 2 7 2 2" xfId="15390" xr:uid="{BCF2E149-29BF-476B-990D-F932A8A8D58B}"/>
    <cellStyle name="Normal 9 2 2 2 2 7 3" xfId="11175" xr:uid="{E2A7FF2F-AA7B-4776-9141-A4635D936011}"/>
    <cellStyle name="Normal 9 2 2 2 2 8" xfId="4878" xr:uid="{00000000-0005-0000-0000-0000961E0000}"/>
    <cellStyle name="Normal 9 2 2 2 2 8 2" xfId="13325" xr:uid="{2473E537-5E66-4E36-91C0-99859A42AAC8}"/>
    <cellStyle name="Normal 9 2 2 2 2 9" xfId="9110" xr:uid="{7E479F0E-7100-4C5F-98C5-B6DBD31526E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5" xr:uid="{08CE6608-05EF-4501-BBFA-C0C15CE394CE}"/>
    <cellStyle name="Normal 9 2 2 2 3 2 2 3" xfId="11670" xr:uid="{BECE7593-3FA3-46FC-AB27-CFFF0AFCBCCC}"/>
    <cellStyle name="Normal 9 2 2 2 3 2 3" xfId="5293" xr:uid="{00000000-0005-0000-0000-00009B1E0000}"/>
    <cellStyle name="Normal 9 2 2 2 3 2 3 2" xfId="13740" xr:uid="{DCF24C03-4F91-450E-BD4B-848A8479F727}"/>
    <cellStyle name="Normal 9 2 2 2 3 2 4" xfId="9525" xr:uid="{797F3C54-7D79-4E52-8EEB-1B362F5B433A}"/>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298" xr:uid="{89EF70F4-1F8C-4F7B-B994-73A5D7ABD1BD}"/>
    <cellStyle name="Normal 9 2 2 2 3 3 2 3" xfId="12083" xr:uid="{7F8B7B8D-52CF-401B-946A-BFBC2D3C8E02}"/>
    <cellStyle name="Normal 9 2 2 2 3 3 3" xfId="5706" xr:uid="{00000000-0005-0000-0000-00009F1E0000}"/>
    <cellStyle name="Normal 9 2 2 2 3 3 3 2" xfId="14153" xr:uid="{41EA9B61-89AC-4B1D-9314-EF987B11803A}"/>
    <cellStyle name="Normal 9 2 2 2 3 3 4" xfId="9938" xr:uid="{6CF096FF-5995-4BE9-A103-639CB32850B8}"/>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1" xr:uid="{C672DC21-C126-459D-B08F-264F87128954}"/>
    <cellStyle name="Normal 9 2 2 2 3 4 2 3" xfId="12496" xr:uid="{1D5E3005-D4BE-41F4-B876-34C94AE80F69}"/>
    <cellStyle name="Normal 9 2 2 2 3 4 3" xfId="6119" xr:uid="{00000000-0005-0000-0000-0000A31E0000}"/>
    <cellStyle name="Normal 9 2 2 2 3 4 3 2" xfId="14566" xr:uid="{F3FA1960-FB4D-460F-9375-6EAA436D6897}"/>
    <cellStyle name="Normal 9 2 2 2 3 4 4" xfId="10351" xr:uid="{546C7C2C-A048-41E3-A4E5-62C68AE5AFF2}"/>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4" xr:uid="{0B1291A2-49DA-41F3-AA82-472D09E577B4}"/>
    <cellStyle name="Normal 9 2 2 2 3 5 2 3" xfId="12909" xr:uid="{1577DABA-8E90-4855-A009-48E7C256F218}"/>
    <cellStyle name="Normal 9 2 2 2 3 5 3" xfId="6532" xr:uid="{00000000-0005-0000-0000-0000A71E0000}"/>
    <cellStyle name="Normal 9 2 2 2 3 5 3 2" xfId="14979" xr:uid="{BF3AE329-2341-431B-8103-EB0F18140228}"/>
    <cellStyle name="Normal 9 2 2 2 3 5 4" xfId="10764" xr:uid="{517B3E62-4F85-4741-BCC0-3E2102B9A4BF}"/>
    <cellStyle name="Normal 9 2 2 2 3 6" xfId="2662" xr:uid="{00000000-0005-0000-0000-0000A81E0000}"/>
    <cellStyle name="Normal 9 2 2 2 3 6 2" xfId="6945" xr:uid="{00000000-0005-0000-0000-0000A91E0000}"/>
    <cellStyle name="Normal 9 2 2 2 3 6 2 2" xfId="15392" xr:uid="{0E88B215-29EF-401F-9EFF-FD39BDE612F9}"/>
    <cellStyle name="Normal 9 2 2 2 3 6 3" xfId="11177" xr:uid="{1248306A-5A2B-40D0-99ED-52410C8EDA57}"/>
    <cellStyle name="Normal 9 2 2 2 3 7" xfId="4880" xr:uid="{00000000-0005-0000-0000-0000AA1E0000}"/>
    <cellStyle name="Normal 9 2 2 2 3 7 2" xfId="13327" xr:uid="{F2F31BAD-6ECA-458A-B484-F88F2270ED78}"/>
    <cellStyle name="Normal 9 2 2 2 3 8" xfId="9112" xr:uid="{8CF06C71-1906-45C1-B0BA-F848DAB44D19}"/>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2" xr:uid="{86CCAC94-11B7-4C64-9F3E-A215B0ECFB1D}"/>
    <cellStyle name="Normal 9 2 2 2 4 2 3" xfId="11667" xr:uid="{6C6218D2-3730-48CC-AAC0-7D6949EDA489}"/>
    <cellStyle name="Normal 9 2 2 2 4 3" xfId="5290" xr:uid="{00000000-0005-0000-0000-0000AE1E0000}"/>
    <cellStyle name="Normal 9 2 2 2 4 3 2" xfId="13737" xr:uid="{EEAF1770-600D-4E1F-8ED2-29189A81DD0B}"/>
    <cellStyle name="Normal 9 2 2 2 4 4" xfId="9522" xr:uid="{F4B4E223-AF94-441A-BF0A-904E0A7E13D8}"/>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5" xr:uid="{DB3BAECD-6784-42CE-B954-D3B4AF0298D5}"/>
    <cellStyle name="Normal 9 2 2 2 5 2 3" xfId="12080" xr:uid="{30A0F6DF-50E0-49E3-A34D-5B62D70A34FF}"/>
    <cellStyle name="Normal 9 2 2 2 5 3" xfId="5703" xr:uid="{00000000-0005-0000-0000-0000B21E0000}"/>
    <cellStyle name="Normal 9 2 2 2 5 3 2" xfId="14150" xr:uid="{F4702613-1FF1-4DCE-83E3-A260A35E95C6}"/>
    <cellStyle name="Normal 9 2 2 2 5 4" xfId="9935" xr:uid="{3D55E819-751C-4715-89FC-F534334CECE0}"/>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08" xr:uid="{70289DF8-669D-4BDA-8927-7CADEED42286}"/>
    <cellStyle name="Normal 9 2 2 2 6 2 3" xfId="12493" xr:uid="{85999074-EBF8-4D51-9508-3789C1B6537D}"/>
    <cellStyle name="Normal 9 2 2 2 6 3" xfId="6116" xr:uid="{00000000-0005-0000-0000-0000B61E0000}"/>
    <cellStyle name="Normal 9 2 2 2 6 3 2" xfId="14563" xr:uid="{BFBF4ACD-4D0D-403F-8414-B19EFA84317E}"/>
    <cellStyle name="Normal 9 2 2 2 6 4" xfId="10348" xr:uid="{8599804A-FAC4-469B-8725-E8A46F88879A}"/>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1" xr:uid="{4102CC8C-BF5D-40BF-AA5C-2C0A061946A2}"/>
    <cellStyle name="Normal 9 2 2 2 7 2 3" xfId="12906" xr:uid="{8DD22E9A-5111-4AA6-A1B7-1354D41B2E28}"/>
    <cellStyle name="Normal 9 2 2 2 7 3" xfId="6529" xr:uid="{00000000-0005-0000-0000-0000BA1E0000}"/>
    <cellStyle name="Normal 9 2 2 2 7 3 2" xfId="14976" xr:uid="{180C6444-F900-4662-B639-CFC83229D549}"/>
    <cellStyle name="Normal 9 2 2 2 7 4" xfId="10761" xr:uid="{E5D861CC-180B-413F-8179-0ADA1BDDC028}"/>
    <cellStyle name="Normal 9 2 2 2 8" xfId="2659" xr:uid="{00000000-0005-0000-0000-0000BB1E0000}"/>
    <cellStyle name="Normal 9 2 2 2 8 2" xfId="6942" xr:uid="{00000000-0005-0000-0000-0000BC1E0000}"/>
    <cellStyle name="Normal 9 2 2 2 8 2 2" xfId="15389" xr:uid="{15FB85D4-2A6C-4B3A-A2F4-9ADC200D95D8}"/>
    <cellStyle name="Normal 9 2 2 2 8 3" xfId="11174" xr:uid="{FB0C136F-2977-413E-85FE-9D76A588FF54}"/>
    <cellStyle name="Normal 9 2 2 2 9" xfId="4877" xr:uid="{00000000-0005-0000-0000-0000BD1E0000}"/>
    <cellStyle name="Normal 9 2 2 2 9 2" xfId="13324" xr:uid="{03AF041D-8F20-4F23-A599-07CC50A096CA}"/>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87" xr:uid="{3A20CBBB-878A-43B5-A25B-F7A27EC75450}"/>
    <cellStyle name="Normal 9 2 2 3 2 2 2 3" xfId="11672" xr:uid="{54CE6C36-D1A8-454C-9256-E0ED5294A8BD}"/>
    <cellStyle name="Normal 9 2 2 3 2 2 3" xfId="5295" xr:uid="{00000000-0005-0000-0000-0000C31E0000}"/>
    <cellStyle name="Normal 9 2 2 3 2 2 3 2" xfId="13742" xr:uid="{85BED151-C3CF-4F5D-895B-1897C6F4BD95}"/>
    <cellStyle name="Normal 9 2 2 3 2 2 4" xfId="9527" xr:uid="{438CCDDD-911A-4925-BD3A-0B5DD5E9868B}"/>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0" xr:uid="{5207C804-4F90-4B9B-8735-080188C2298F}"/>
    <cellStyle name="Normal 9 2 2 3 2 3 2 3" xfId="12085" xr:uid="{4CE2D0FE-BECE-4B0A-BAA0-4EE02309CE02}"/>
    <cellStyle name="Normal 9 2 2 3 2 3 3" xfId="5708" xr:uid="{00000000-0005-0000-0000-0000C71E0000}"/>
    <cellStyle name="Normal 9 2 2 3 2 3 3 2" xfId="14155" xr:uid="{7DD637AA-2844-409F-AFD3-93D48951EA1B}"/>
    <cellStyle name="Normal 9 2 2 3 2 3 4" xfId="9940" xr:uid="{2A5E36D8-C062-40A3-B346-AC3F9BBB3EC9}"/>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3" xr:uid="{537B0A8E-A4E9-46F0-AFE2-BE89011C5FE8}"/>
    <cellStyle name="Normal 9 2 2 3 2 4 2 3" xfId="12498" xr:uid="{0C277A59-E057-424B-B0DE-85DCFAE0060D}"/>
    <cellStyle name="Normal 9 2 2 3 2 4 3" xfId="6121" xr:uid="{00000000-0005-0000-0000-0000CB1E0000}"/>
    <cellStyle name="Normal 9 2 2 3 2 4 3 2" xfId="14568" xr:uid="{5A406127-0518-406C-9F9E-549DA2C8F703}"/>
    <cellStyle name="Normal 9 2 2 3 2 4 4" xfId="10353" xr:uid="{E8628A9A-0F19-45C9-A170-1514F8B6727C}"/>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6" xr:uid="{0B81D66B-953E-47C9-978D-8F76F2737A4C}"/>
    <cellStyle name="Normal 9 2 2 3 2 5 2 3" xfId="12911" xr:uid="{97945AB9-0624-4659-A8E5-3DD91E1D6BE2}"/>
    <cellStyle name="Normal 9 2 2 3 2 5 3" xfId="6534" xr:uid="{00000000-0005-0000-0000-0000CF1E0000}"/>
    <cellStyle name="Normal 9 2 2 3 2 5 3 2" xfId="14981" xr:uid="{00A40457-81CB-4F82-A37C-892A769C2FA3}"/>
    <cellStyle name="Normal 9 2 2 3 2 5 4" xfId="10766" xr:uid="{26A10B37-DF68-48A6-91DB-D7243CF1DC19}"/>
    <cellStyle name="Normal 9 2 2 3 2 6" xfId="2664" xr:uid="{00000000-0005-0000-0000-0000D01E0000}"/>
    <cellStyle name="Normal 9 2 2 3 2 6 2" xfId="6947" xr:uid="{00000000-0005-0000-0000-0000D11E0000}"/>
    <cellStyle name="Normal 9 2 2 3 2 6 2 2" xfId="15394" xr:uid="{54407032-9DB9-41BE-A967-5896479E6470}"/>
    <cellStyle name="Normal 9 2 2 3 2 6 3" xfId="11179" xr:uid="{B8E86126-B01C-4DF7-B668-984EA36EA509}"/>
    <cellStyle name="Normal 9 2 2 3 2 7" xfId="4882" xr:uid="{00000000-0005-0000-0000-0000D21E0000}"/>
    <cellStyle name="Normal 9 2 2 3 2 7 2" xfId="13329" xr:uid="{F735B3EA-A3EA-48BD-8831-61B0A24FBCAA}"/>
    <cellStyle name="Normal 9 2 2 3 2 8" xfId="9114" xr:uid="{92D86463-6A05-424D-AB8A-39936E6967AB}"/>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6" xr:uid="{502FCF68-2B8A-49F9-A473-D723388C6C6E}"/>
    <cellStyle name="Normal 9 2 2 3 3 2 3" xfId="11671" xr:uid="{E5C62533-29B3-48DE-A22B-3B898FADAA66}"/>
    <cellStyle name="Normal 9 2 2 3 3 3" xfId="5294" xr:uid="{00000000-0005-0000-0000-0000D61E0000}"/>
    <cellStyle name="Normal 9 2 2 3 3 3 2" xfId="13741" xr:uid="{08F20E0B-85FF-4B24-A215-B58F435F73D1}"/>
    <cellStyle name="Normal 9 2 2 3 3 4" xfId="9526" xr:uid="{510635DB-DC74-4921-BEDE-999EB2FB2C80}"/>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299" xr:uid="{ACA0477F-BAF6-464A-A15F-C76951452437}"/>
    <cellStyle name="Normal 9 2 2 3 4 2 3" xfId="12084" xr:uid="{6250B0A7-DAB0-41BA-BAF0-161142575209}"/>
    <cellStyle name="Normal 9 2 2 3 4 3" xfId="5707" xr:uid="{00000000-0005-0000-0000-0000DA1E0000}"/>
    <cellStyle name="Normal 9 2 2 3 4 3 2" xfId="14154" xr:uid="{B427FB48-DC41-4735-9DB0-8662DBF073CA}"/>
    <cellStyle name="Normal 9 2 2 3 4 4" xfId="9939" xr:uid="{F1DE64C2-1B70-46E3-9242-AA7AB7CFF05A}"/>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2" xr:uid="{85CF7BF3-0B92-468C-B222-B8B779D46F75}"/>
    <cellStyle name="Normal 9 2 2 3 5 2 3" xfId="12497" xr:uid="{768F05B3-E66F-4B54-8FAD-F01F73D3F6E1}"/>
    <cellStyle name="Normal 9 2 2 3 5 3" xfId="6120" xr:uid="{00000000-0005-0000-0000-0000DE1E0000}"/>
    <cellStyle name="Normal 9 2 2 3 5 3 2" xfId="14567" xr:uid="{EF35A27C-3A9B-4955-8887-D59C5A0832E8}"/>
    <cellStyle name="Normal 9 2 2 3 5 4" xfId="10352" xr:uid="{3AAF4578-1DC2-45D1-B24E-1FE1D43F0A0E}"/>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5" xr:uid="{96FB5A56-F73A-48BD-B43C-1444BE054848}"/>
    <cellStyle name="Normal 9 2 2 3 6 2 3" xfId="12910" xr:uid="{18E87A0E-D5B6-48B8-BD60-8046C8D5C736}"/>
    <cellStyle name="Normal 9 2 2 3 6 3" xfId="6533" xr:uid="{00000000-0005-0000-0000-0000E21E0000}"/>
    <cellStyle name="Normal 9 2 2 3 6 3 2" xfId="14980" xr:uid="{11A7417F-4356-4785-AC85-815B45D70B09}"/>
    <cellStyle name="Normal 9 2 2 3 6 4" xfId="10765" xr:uid="{7E263938-A1E0-4394-9801-EF717575E57D}"/>
    <cellStyle name="Normal 9 2 2 3 7" xfId="2663" xr:uid="{00000000-0005-0000-0000-0000E31E0000}"/>
    <cellStyle name="Normal 9 2 2 3 7 2" xfId="6946" xr:uid="{00000000-0005-0000-0000-0000E41E0000}"/>
    <cellStyle name="Normal 9 2 2 3 7 2 2" xfId="15393" xr:uid="{9DBE6E23-97F0-48CF-B6A9-304842C6B123}"/>
    <cellStyle name="Normal 9 2 2 3 7 3" xfId="11178" xr:uid="{DFEA5ADB-443E-40B0-87DF-E91F4E68FBFF}"/>
    <cellStyle name="Normal 9 2 2 3 8" xfId="4881" xr:uid="{00000000-0005-0000-0000-0000E51E0000}"/>
    <cellStyle name="Normal 9 2 2 3 8 2" xfId="13328" xr:uid="{E498C941-BAA5-4182-BE62-DD0C04AC5E41}"/>
    <cellStyle name="Normal 9 2 2 3 9" xfId="9113" xr:uid="{D16E5822-B859-4C33-B178-76F6D1FF2E8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88" xr:uid="{395D32D5-9E79-4920-8249-96B780E8989B}"/>
    <cellStyle name="Normal 9 2 2 4 2 2 3" xfId="11673" xr:uid="{0E7A738B-0984-407C-8119-53BB22011B6C}"/>
    <cellStyle name="Normal 9 2 2 4 2 3" xfId="5296" xr:uid="{00000000-0005-0000-0000-0000EA1E0000}"/>
    <cellStyle name="Normal 9 2 2 4 2 3 2" xfId="13743" xr:uid="{E47536E7-6F80-4F96-84C9-562429724A4C}"/>
    <cellStyle name="Normal 9 2 2 4 2 4" xfId="9528" xr:uid="{0EB55DCA-CDDE-4E2F-B3F8-9A3D846A2A96}"/>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1" xr:uid="{B8B2CC4E-EFB1-4097-910B-908841E4F480}"/>
    <cellStyle name="Normal 9 2 2 4 3 2 3" xfId="12086" xr:uid="{0A35687B-95D4-4C84-A5B8-F116CBA63048}"/>
    <cellStyle name="Normal 9 2 2 4 3 3" xfId="5709" xr:uid="{00000000-0005-0000-0000-0000EE1E0000}"/>
    <cellStyle name="Normal 9 2 2 4 3 3 2" xfId="14156" xr:uid="{4A94177D-E5DC-4C90-BB58-CC22486856A2}"/>
    <cellStyle name="Normal 9 2 2 4 3 4" xfId="9941" xr:uid="{416BB8CD-0B83-471A-A2CE-AB07887B8E4A}"/>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4" xr:uid="{80902EA8-0739-4F01-B9B2-B5401B78213C}"/>
    <cellStyle name="Normal 9 2 2 4 4 2 3" xfId="12499" xr:uid="{B0013016-692E-4767-BA58-5EF6AA890DA5}"/>
    <cellStyle name="Normal 9 2 2 4 4 3" xfId="6122" xr:uid="{00000000-0005-0000-0000-0000F21E0000}"/>
    <cellStyle name="Normal 9 2 2 4 4 3 2" xfId="14569" xr:uid="{E454EE60-0825-431A-875A-85BA182DBE9F}"/>
    <cellStyle name="Normal 9 2 2 4 4 4" xfId="10354" xr:uid="{C3154E6F-D223-4189-A0B3-3E3CF0BBC706}"/>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27" xr:uid="{07FD05EA-00D8-4780-87C9-867CF7724A34}"/>
    <cellStyle name="Normal 9 2 2 4 5 2 3" xfId="12912" xr:uid="{7E44CA2E-C081-4330-8E46-6ED073043A2B}"/>
    <cellStyle name="Normal 9 2 2 4 5 3" xfId="6535" xr:uid="{00000000-0005-0000-0000-0000F61E0000}"/>
    <cellStyle name="Normal 9 2 2 4 5 3 2" xfId="14982" xr:uid="{DFE22882-ABB9-4A22-A591-E29F71C6570C}"/>
    <cellStyle name="Normal 9 2 2 4 5 4" xfId="10767" xr:uid="{B3067AD8-2323-47A0-B02B-3344B96A54B7}"/>
    <cellStyle name="Normal 9 2 2 4 6" xfId="2665" xr:uid="{00000000-0005-0000-0000-0000F71E0000}"/>
    <cellStyle name="Normal 9 2 2 4 6 2" xfId="6948" xr:uid="{00000000-0005-0000-0000-0000F81E0000}"/>
    <cellStyle name="Normal 9 2 2 4 6 2 2" xfId="15395" xr:uid="{1A62C864-F110-40AE-BCBF-FD61D119CDAF}"/>
    <cellStyle name="Normal 9 2 2 4 6 3" xfId="11180" xr:uid="{F492FA08-87AD-4A32-A117-227C1B142AEB}"/>
    <cellStyle name="Normal 9 2 2 4 7" xfId="4883" xr:uid="{00000000-0005-0000-0000-0000F91E0000}"/>
    <cellStyle name="Normal 9 2 2 4 7 2" xfId="13330" xr:uid="{14AE97C0-9C4E-4DD8-8F9E-E8FACBA943E8}"/>
    <cellStyle name="Normal 9 2 2 4 8" xfId="9115" xr:uid="{52F30224-801D-4511-B1F0-A0C77C008F44}"/>
    <cellStyle name="Normal 9 2 2 5" xfId="979" xr:uid="{00000000-0005-0000-0000-0000FA1E0000}"/>
    <cellStyle name="Normal 9 2 2 5 2" xfId="3212" xr:uid="{00000000-0005-0000-0000-0000FB1E0000}"/>
    <cellStyle name="Normal 9 2 2 5 2 2" xfId="7434" xr:uid="{00000000-0005-0000-0000-0000FC1E0000}"/>
    <cellStyle name="Normal 9 2 2 5 2 2 2" xfId="15881" xr:uid="{DAECB6AC-51C5-4547-B942-371AD902BC54}"/>
    <cellStyle name="Normal 9 2 2 5 2 3" xfId="11666" xr:uid="{2AAC71C3-7B2F-4340-B972-4A5120515A04}"/>
    <cellStyle name="Normal 9 2 2 5 3" xfId="5289" xr:uid="{00000000-0005-0000-0000-0000FD1E0000}"/>
    <cellStyle name="Normal 9 2 2 5 3 2" xfId="13736" xr:uid="{CC8BD26A-2A6C-4F4A-8D17-560B281B136F}"/>
    <cellStyle name="Normal 9 2 2 5 4" xfId="9521" xr:uid="{37DB9A27-4542-4F38-A418-089C479A973A}"/>
    <cellStyle name="Normal 9 2 2 6" xfId="1395" xr:uid="{00000000-0005-0000-0000-0000FE1E0000}"/>
    <cellStyle name="Normal 9 2 2 6 2" xfId="3625" xr:uid="{00000000-0005-0000-0000-0000FF1E0000}"/>
    <cellStyle name="Normal 9 2 2 6 2 2" xfId="7847" xr:uid="{00000000-0005-0000-0000-0000001F0000}"/>
    <cellStyle name="Normal 9 2 2 6 2 2 2" xfId="16294" xr:uid="{148958F5-1A77-4540-A59E-07862E7E63F7}"/>
    <cellStyle name="Normal 9 2 2 6 2 3" xfId="12079" xr:uid="{6C1022CA-6DD9-4AE9-AD9A-1AED50958286}"/>
    <cellStyle name="Normal 9 2 2 6 3" xfId="5702" xr:uid="{00000000-0005-0000-0000-0000011F0000}"/>
    <cellStyle name="Normal 9 2 2 6 3 2" xfId="14149" xr:uid="{CA381B87-2118-4C0D-8ACA-734CF8C26525}"/>
    <cellStyle name="Normal 9 2 2 6 4" xfId="9934" xr:uid="{AFEFE433-8F2C-46E9-9A2B-B11CA3C8F3AA}"/>
    <cellStyle name="Normal 9 2 2 7" xfId="1808" xr:uid="{00000000-0005-0000-0000-0000021F0000}"/>
    <cellStyle name="Normal 9 2 2 7 2" xfId="4038" xr:uid="{00000000-0005-0000-0000-0000031F0000}"/>
    <cellStyle name="Normal 9 2 2 7 2 2" xfId="8260" xr:uid="{00000000-0005-0000-0000-0000041F0000}"/>
    <cellStyle name="Normal 9 2 2 7 2 2 2" xfId="16707" xr:uid="{858B62F0-0485-42FC-9624-3442F274D855}"/>
    <cellStyle name="Normal 9 2 2 7 2 3" xfId="12492" xr:uid="{6D423304-E28D-45BD-8FFF-92CA356A1E18}"/>
    <cellStyle name="Normal 9 2 2 7 3" xfId="6115" xr:uid="{00000000-0005-0000-0000-0000051F0000}"/>
    <cellStyle name="Normal 9 2 2 7 3 2" xfId="14562" xr:uid="{A8AD1E77-CE5B-4A60-8E08-E478C7E844B0}"/>
    <cellStyle name="Normal 9 2 2 7 4" xfId="10347" xr:uid="{C32B300B-2881-4F29-AA4D-5045F1F8DD81}"/>
    <cellStyle name="Normal 9 2 2 8" xfId="2222" xr:uid="{00000000-0005-0000-0000-0000061F0000}"/>
    <cellStyle name="Normal 9 2 2 8 2" xfId="4451" xr:uid="{00000000-0005-0000-0000-0000071F0000}"/>
    <cellStyle name="Normal 9 2 2 8 2 2" xfId="8673" xr:uid="{00000000-0005-0000-0000-0000081F0000}"/>
    <cellStyle name="Normal 9 2 2 8 2 2 2" xfId="17120" xr:uid="{C581230F-8A0D-4BA0-ABD0-906A5AF8B077}"/>
    <cellStyle name="Normal 9 2 2 8 2 3" xfId="12905" xr:uid="{C1E61AF8-D348-4CAF-8552-9A24608E11A5}"/>
    <cellStyle name="Normal 9 2 2 8 3" xfId="6528" xr:uid="{00000000-0005-0000-0000-0000091F0000}"/>
    <cellStyle name="Normal 9 2 2 8 3 2" xfId="14975" xr:uid="{701AC242-9CFA-4778-92E9-0EF469F266DA}"/>
    <cellStyle name="Normal 9 2 2 8 4" xfId="10760" xr:uid="{A34524E2-A005-4E65-A19E-AC80B458F2AD}"/>
    <cellStyle name="Normal 9 2 2 9" xfId="2658" xr:uid="{00000000-0005-0000-0000-00000A1F0000}"/>
    <cellStyle name="Normal 9 2 2 9 2" xfId="6941" xr:uid="{00000000-0005-0000-0000-00000B1F0000}"/>
    <cellStyle name="Normal 9 2 2 9 2 2" xfId="15388" xr:uid="{74206B32-BA4B-4D15-AB50-BE534874032E}"/>
    <cellStyle name="Normal 9 2 2 9 3" xfId="11173" xr:uid="{EE5C32E0-5920-4492-BD06-8F7FCC8B9C7F}"/>
    <cellStyle name="Normal 9 2 3" xfId="520" xr:uid="{00000000-0005-0000-0000-00000C1F0000}"/>
    <cellStyle name="Normal 9 2 3 10" xfId="9116" xr:uid="{BD166656-6058-444A-A23E-2CF31F62944E}"/>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1" xr:uid="{C08AA01F-4353-4464-8883-F520096D522B}"/>
    <cellStyle name="Normal 9 2 3 2 2 2 2 3" xfId="11676" xr:uid="{4AA8C22F-07B2-4BA7-B7B5-563D6F76AE2A}"/>
    <cellStyle name="Normal 9 2 3 2 2 2 3" xfId="5299" xr:uid="{00000000-0005-0000-0000-0000121F0000}"/>
    <cellStyle name="Normal 9 2 3 2 2 2 3 2" xfId="13746" xr:uid="{B7562909-41F0-4616-BB54-BE15062C30A1}"/>
    <cellStyle name="Normal 9 2 3 2 2 2 4" xfId="9531" xr:uid="{6C6982BC-CB3E-404A-B117-1B2B6E24F4C7}"/>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4" xr:uid="{69DE1E91-0063-45EB-AC0B-B539E023E53C}"/>
    <cellStyle name="Normal 9 2 3 2 2 3 2 3" xfId="12089" xr:uid="{FAA6CC18-3A5F-4844-8B57-06E76971BF96}"/>
    <cellStyle name="Normal 9 2 3 2 2 3 3" xfId="5712" xr:uid="{00000000-0005-0000-0000-0000161F0000}"/>
    <cellStyle name="Normal 9 2 3 2 2 3 3 2" xfId="14159" xr:uid="{6AE8FB35-7DE3-4F66-BA56-DDD3C5199AEB}"/>
    <cellStyle name="Normal 9 2 3 2 2 3 4" xfId="9944" xr:uid="{53E35997-A85B-4F4D-A72B-1F7EB5AA573A}"/>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17" xr:uid="{7C489321-BA42-438E-B425-F09A4A67F204}"/>
    <cellStyle name="Normal 9 2 3 2 2 4 2 3" xfId="12502" xr:uid="{EBA43747-324D-4B3D-B709-A70EE6F7D895}"/>
    <cellStyle name="Normal 9 2 3 2 2 4 3" xfId="6125" xr:uid="{00000000-0005-0000-0000-00001A1F0000}"/>
    <cellStyle name="Normal 9 2 3 2 2 4 3 2" xfId="14572" xr:uid="{9EDDE72B-90F9-4846-9C15-95B7462317C1}"/>
    <cellStyle name="Normal 9 2 3 2 2 4 4" xfId="10357" xr:uid="{C2886AF7-8D14-43FE-A69E-F3DB5EDB527F}"/>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0" xr:uid="{C9B930B7-0852-47F1-ABBB-BC213AFD647D}"/>
    <cellStyle name="Normal 9 2 3 2 2 5 2 3" xfId="12915" xr:uid="{68C91DE3-4AFD-406B-BBD1-B20A34707C7E}"/>
    <cellStyle name="Normal 9 2 3 2 2 5 3" xfId="6538" xr:uid="{00000000-0005-0000-0000-00001E1F0000}"/>
    <cellStyle name="Normal 9 2 3 2 2 5 3 2" xfId="14985" xr:uid="{B1BB09B9-9C97-4F36-BE9A-EABBF208193B}"/>
    <cellStyle name="Normal 9 2 3 2 2 5 4" xfId="10770" xr:uid="{E0E60437-BACF-458D-86C4-4BFAB5763772}"/>
    <cellStyle name="Normal 9 2 3 2 2 6" xfId="2668" xr:uid="{00000000-0005-0000-0000-00001F1F0000}"/>
    <cellStyle name="Normal 9 2 3 2 2 6 2" xfId="6951" xr:uid="{00000000-0005-0000-0000-0000201F0000}"/>
    <cellStyle name="Normal 9 2 3 2 2 6 2 2" xfId="15398" xr:uid="{2C974D89-3E3E-4A1B-A329-0DEEB531B9DD}"/>
    <cellStyle name="Normal 9 2 3 2 2 6 3" xfId="11183" xr:uid="{21912FA3-662B-41B9-AF07-7B2416180ACA}"/>
    <cellStyle name="Normal 9 2 3 2 2 7" xfId="4886" xr:uid="{00000000-0005-0000-0000-0000211F0000}"/>
    <cellStyle name="Normal 9 2 3 2 2 7 2" xfId="13333" xr:uid="{3A5C769B-7B93-4BE1-B4DE-D4EFC8249075}"/>
    <cellStyle name="Normal 9 2 3 2 2 8" xfId="9118" xr:uid="{1D875E63-0835-4802-B671-5F26D70F255A}"/>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0" xr:uid="{45B7682E-A8B1-4149-850D-63673D454337}"/>
    <cellStyle name="Normal 9 2 3 2 3 2 3" xfId="11675" xr:uid="{92932014-D22B-4E5E-B2BC-29506CA7AF8A}"/>
    <cellStyle name="Normal 9 2 3 2 3 3" xfId="5298" xr:uid="{00000000-0005-0000-0000-0000251F0000}"/>
    <cellStyle name="Normal 9 2 3 2 3 3 2" xfId="13745" xr:uid="{7BB606D5-3EB7-4F05-A251-80ECD4DC2648}"/>
    <cellStyle name="Normal 9 2 3 2 3 4" xfId="9530" xr:uid="{9161EBB1-F78F-4400-B65C-B366819E321F}"/>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3" xr:uid="{D83D6BEB-C90C-44BC-A7CA-D0E1B4BDBCDB}"/>
    <cellStyle name="Normal 9 2 3 2 4 2 3" xfId="12088" xr:uid="{B555FB00-7530-4AA0-BEEE-62D708AD41DE}"/>
    <cellStyle name="Normal 9 2 3 2 4 3" xfId="5711" xr:uid="{00000000-0005-0000-0000-0000291F0000}"/>
    <cellStyle name="Normal 9 2 3 2 4 3 2" xfId="14158" xr:uid="{06CDBC72-64B0-45E9-949E-161C4014380B}"/>
    <cellStyle name="Normal 9 2 3 2 4 4" xfId="9943" xr:uid="{9404D119-B057-4DE2-96EA-F139E5EC4C9C}"/>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6" xr:uid="{705B91C4-AF1C-470A-97E1-4C0744040DCB}"/>
    <cellStyle name="Normal 9 2 3 2 5 2 3" xfId="12501" xr:uid="{83A757C0-21E8-43CD-8FA0-F6D503128871}"/>
    <cellStyle name="Normal 9 2 3 2 5 3" xfId="6124" xr:uid="{00000000-0005-0000-0000-00002D1F0000}"/>
    <cellStyle name="Normal 9 2 3 2 5 3 2" xfId="14571" xr:uid="{2DBAEDB6-44EE-49DB-AB2D-F5EA82158B30}"/>
    <cellStyle name="Normal 9 2 3 2 5 4" xfId="10356" xr:uid="{0466C30C-AA46-476E-928C-24B9E3D5B411}"/>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29" xr:uid="{F2509A8A-9965-4262-9BD6-FD6EEAF98EB7}"/>
    <cellStyle name="Normal 9 2 3 2 6 2 3" xfId="12914" xr:uid="{FFCCD446-15ED-4005-8213-1F534476908A}"/>
    <cellStyle name="Normal 9 2 3 2 6 3" xfId="6537" xr:uid="{00000000-0005-0000-0000-0000311F0000}"/>
    <cellStyle name="Normal 9 2 3 2 6 3 2" xfId="14984" xr:uid="{E59191C6-8510-4FB8-B129-73DC12BB3548}"/>
    <cellStyle name="Normal 9 2 3 2 6 4" xfId="10769" xr:uid="{65D3D361-7EFE-4056-BDDE-9C85CD224451}"/>
    <cellStyle name="Normal 9 2 3 2 7" xfId="2667" xr:uid="{00000000-0005-0000-0000-0000321F0000}"/>
    <cellStyle name="Normal 9 2 3 2 7 2" xfId="6950" xr:uid="{00000000-0005-0000-0000-0000331F0000}"/>
    <cellStyle name="Normal 9 2 3 2 7 2 2" xfId="15397" xr:uid="{69868063-9195-43DA-8AE9-23AE5D329EDE}"/>
    <cellStyle name="Normal 9 2 3 2 7 3" xfId="11182" xr:uid="{4EE5BED7-49BD-4485-94F0-CF2E11F98DDD}"/>
    <cellStyle name="Normal 9 2 3 2 8" xfId="4885" xr:uid="{00000000-0005-0000-0000-0000341F0000}"/>
    <cellStyle name="Normal 9 2 3 2 8 2" xfId="13332" xr:uid="{6CA9D670-2CFB-4039-9E90-FA40E97AFA90}"/>
    <cellStyle name="Normal 9 2 3 2 9" xfId="9117" xr:uid="{44E0B614-BD9D-461E-982D-C6498823D8BE}"/>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2" xr:uid="{25AD6144-5010-4E22-B0AD-4C9D66E86E8F}"/>
    <cellStyle name="Normal 9 2 3 3 2 2 3" xfId="11677" xr:uid="{9D831E47-68FC-48B7-8A87-D9FE10262DF1}"/>
    <cellStyle name="Normal 9 2 3 3 2 3" xfId="5300" xr:uid="{00000000-0005-0000-0000-0000391F0000}"/>
    <cellStyle name="Normal 9 2 3 3 2 3 2" xfId="13747" xr:uid="{3E53FD33-3694-40F5-85F4-4BE13A9C051D}"/>
    <cellStyle name="Normal 9 2 3 3 2 4" xfId="9532" xr:uid="{FEB97698-EF43-421D-B1DF-824F71D7F514}"/>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5" xr:uid="{1175C70B-8C1A-43B0-B2CF-CDD27A0ED581}"/>
    <cellStyle name="Normal 9 2 3 3 3 2 3" xfId="12090" xr:uid="{DA9E070E-955D-4F65-9F79-7B775141DBAC}"/>
    <cellStyle name="Normal 9 2 3 3 3 3" xfId="5713" xr:uid="{00000000-0005-0000-0000-00003D1F0000}"/>
    <cellStyle name="Normal 9 2 3 3 3 3 2" xfId="14160" xr:uid="{DBB8EF15-7AED-4606-9AE4-D71A4491D417}"/>
    <cellStyle name="Normal 9 2 3 3 3 4" xfId="9945" xr:uid="{7108EDE6-DDFB-4CF1-BA0F-C64022C2BA79}"/>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18" xr:uid="{20EE2AE4-5B7C-4BA5-8470-67395B7C24A6}"/>
    <cellStyle name="Normal 9 2 3 3 4 2 3" xfId="12503" xr:uid="{A1D5957D-AE9D-4C40-A78E-DB8C4DD636E3}"/>
    <cellStyle name="Normal 9 2 3 3 4 3" xfId="6126" xr:uid="{00000000-0005-0000-0000-0000411F0000}"/>
    <cellStyle name="Normal 9 2 3 3 4 3 2" xfId="14573" xr:uid="{47F91818-BCC0-4EDD-9B4B-2AA2FE320094}"/>
    <cellStyle name="Normal 9 2 3 3 4 4" xfId="10358" xr:uid="{F61E0164-8866-43DF-9255-5387724AF9F9}"/>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1" xr:uid="{5F5F70C5-7585-49D3-B4BB-EA7DCA554DAE}"/>
    <cellStyle name="Normal 9 2 3 3 5 2 3" xfId="12916" xr:uid="{C23136BD-CF0C-40A8-A361-367A0C988AB8}"/>
    <cellStyle name="Normal 9 2 3 3 5 3" xfId="6539" xr:uid="{00000000-0005-0000-0000-0000451F0000}"/>
    <cellStyle name="Normal 9 2 3 3 5 3 2" xfId="14986" xr:uid="{8115C9DF-C8C0-4401-8F82-007F02765493}"/>
    <cellStyle name="Normal 9 2 3 3 5 4" xfId="10771" xr:uid="{3F327414-1AAC-4972-9742-22675701E063}"/>
    <cellStyle name="Normal 9 2 3 3 6" xfId="2669" xr:uid="{00000000-0005-0000-0000-0000461F0000}"/>
    <cellStyle name="Normal 9 2 3 3 6 2" xfId="6952" xr:uid="{00000000-0005-0000-0000-0000471F0000}"/>
    <cellStyle name="Normal 9 2 3 3 6 2 2" xfId="15399" xr:uid="{598631A4-C047-429C-A2E0-A8F67901096E}"/>
    <cellStyle name="Normal 9 2 3 3 6 3" xfId="11184" xr:uid="{256C70B0-A1C3-4DCD-8F9C-0B7D1A35D50D}"/>
    <cellStyle name="Normal 9 2 3 3 7" xfId="4887" xr:uid="{00000000-0005-0000-0000-0000481F0000}"/>
    <cellStyle name="Normal 9 2 3 3 7 2" xfId="13334" xr:uid="{18443A8A-E934-46EC-9FC4-E5B7161632C6}"/>
    <cellStyle name="Normal 9 2 3 3 8" xfId="9119" xr:uid="{D9A8D66D-54D6-4E72-8AB4-D61D2811CBE3}"/>
    <cellStyle name="Normal 9 2 3 4" xfId="987" xr:uid="{00000000-0005-0000-0000-0000491F0000}"/>
    <cellStyle name="Normal 9 2 3 4 2" xfId="3220" xr:uid="{00000000-0005-0000-0000-00004A1F0000}"/>
    <cellStyle name="Normal 9 2 3 4 2 2" xfId="7442" xr:uid="{00000000-0005-0000-0000-00004B1F0000}"/>
    <cellStyle name="Normal 9 2 3 4 2 2 2" xfId="15889" xr:uid="{05F89710-AAB9-4384-98DB-7533AD949049}"/>
    <cellStyle name="Normal 9 2 3 4 2 3" xfId="11674" xr:uid="{D9AFF152-7A20-4056-86F0-F25B37785F06}"/>
    <cellStyle name="Normal 9 2 3 4 3" xfId="5297" xr:uid="{00000000-0005-0000-0000-00004C1F0000}"/>
    <cellStyle name="Normal 9 2 3 4 3 2" xfId="13744" xr:uid="{9E4334D2-0033-47BE-A3FD-E98817990F8C}"/>
    <cellStyle name="Normal 9 2 3 4 4" xfId="9529" xr:uid="{48F72CA1-2082-4E68-960C-248E69CAC0B5}"/>
    <cellStyle name="Normal 9 2 3 5" xfId="1403" xr:uid="{00000000-0005-0000-0000-00004D1F0000}"/>
    <cellStyle name="Normal 9 2 3 5 2" xfId="3633" xr:uid="{00000000-0005-0000-0000-00004E1F0000}"/>
    <cellStyle name="Normal 9 2 3 5 2 2" xfId="7855" xr:uid="{00000000-0005-0000-0000-00004F1F0000}"/>
    <cellStyle name="Normal 9 2 3 5 2 2 2" xfId="16302" xr:uid="{0DBC5D17-407C-4B29-B844-C70A4400B93A}"/>
    <cellStyle name="Normal 9 2 3 5 2 3" xfId="12087" xr:uid="{6519760B-5D80-484D-962F-BE32365EA2FE}"/>
    <cellStyle name="Normal 9 2 3 5 3" xfId="5710" xr:uid="{00000000-0005-0000-0000-0000501F0000}"/>
    <cellStyle name="Normal 9 2 3 5 3 2" xfId="14157" xr:uid="{F514B480-8D13-46F9-9DE0-36C9EE085D20}"/>
    <cellStyle name="Normal 9 2 3 5 4" xfId="9942" xr:uid="{27309462-2DF5-412D-8C29-BC7A2C665775}"/>
    <cellStyle name="Normal 9 2 3 6" xfId="1816" xr:uid="{00000000-0005-0000-0000-0000511F0000}"/>
    <cellStyle name="Normal 9 2 3 6 2" xfId="4046" xr:uid="{00000000-0005-0000-0000-0000521F0000}"/>
    <cellStyle name="Normal 9 2 3 6 2 2" xfId="8268" xr:uid="{00000000-0005-0000-0000-0000531F0000}"/>
    <cellStyle name="Normal 9 2 3 6 2 2 2" xfId="16715" xr:uid="{F0B5F363-E983-42CB-9432-1D91BA76B880}"/>
    <cellStyle name="Normal 9 2 3 6 2 3" xfId="12500" xr:uid="{324EA530-BD7B-4BD8-8F2A-664E75650327}"/>
    <cellStyle name="Normal 9 2 3 6 3" xfId="6123" xr:uid="{00000000-0005-0000-0000-0000541F0000}"/>
    <cellStyle name="Normal 9 2 3 6 3 2" xfId="14570" xr:uid="{0F17B587-7EF2-4E89-B200-6FF76B75AC67}"/>
    <cellStyle name="Normal 9 2 3 6 4" xfId="10355" xr:uid="{4F4BDE10-6637-40AB-801F-31B288E0E2F6}"/>
    <cellStyle name="Normal 9 2 3 7" xfId="2230" xr:uid="{00000000-0005-0000-0000-0000551F0000}"/>
    <cellStyle name="Normal 9 2 3 7 2" xfId="4459" xr:uid="{00000000-0005-0000-0000-0000561F0000}"/>
    <cellStyle name="Normal 9 2 3 7 2 2" xfId="8681" xr:uid="{00000000-0005-0000-0000-0000571F0000}"/>
    <cellStyle name="Normal 9 2 3 7 2 2 2" xfId="17128" xr:uid="{994D45ED-0E72-4A8F-A9BA-3F2E84227196}"/>
    <cellStyle name="Normal 9 2 3 7 2 3" xfId="12913" xr:uid="{8070568F-078D-42DC-843F-BC4A8712A20F}"/>
    <cellStyle name="Normal 9 2 3 7 3" xfId="6536" xr:uid="{00000000-0005-0000-0000-0000581F0000}"/>
    <cellStyle name="Normal 9 2 3 7 3 2" xfId="14983" xr:uid="{F2B8B037-0A40-480C-A97D-CD0572A11116}"/>
    <cellStyle name="Normal 9 2 3 7 4" xfId="10768" xr:uid="{1ADFEB50-5622-4947-8F80-36079A99E570}"/>
    <cellStyle name="Normal 9 2 3 8" xfId="2666" xr:uid="{00000000-0005-0000-0000-0000591F0000}"/>
    <cellStyle name="Normal 9 2 3 8 2" xfId="6949" xr:uid="{00000000-0005-0000-0000-00005A1F0000}"/>
    <cellStyle name="Normal 9 2 3 8 2 2" xfId="15396" xr:uid="{864E7CEA-E198-4253-9B6D-AD1F2C0E0974}"/>
    <cellStyle name="Normal 9 2 3 8 3" xfId="11181" xr:uid="{DD027CE0-943A-4D73-B60D-F7B92D496F33}"/>
    <cellStyle name="Normal 9 2 3 9" xfId="4884" xr:uid="{00000000-0005-0000-0000-00005B1F0000}"/>
    <cellStyle name="Normal 9 2 3 9 2" xfId="13331" xr:uid="{44FA3F7F-F803-4341-9153-BFAA948CB58D}"/>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4" xr:uid="{B4F89E70-814A-4643-A516-E59F179D03A0}"/>
    <cellStyle name="Normal 9 2 4 2 2 2 3" xfId="11679" xr:uid="{BAC9E891-35B0-499A-A9F8-384A359D308E}"/>
    <cellStyle name="Normal 9 2 4 2 2 3" xfId="5302" xr:uid="{00000000-0005-0000-0000-0000611F0000}"/>
    <cellStyle name="Normal 9 2 4 2 2 3 2" xfId="13749" xr:uid="{A70B894C-68AE-4B8E-A36A-6EF0A07B0477}"/>
    <cellStyle name="Normal 9 2 4 2 2 4" xfId="9534" xr:uid="{DCA465EB-A6F9-4C37-A4B4-487CE1041EED}"/>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07" xr:uid="{2A152C2E-EDFC-4608-B836-5668160BF1DF}"/>
    <cellStyle name="Normal 9 2 4 2 3 2 3" xfId="12092" xr:uid="{15D8058B-BE2A-48D4-B22F-3805F86612B0}"/>
    <cellStyle name="Normal 9 2 4 2 3 3" xfId="5715" xr:uid="{00000000-0005-0000-0000-0000651F0000}"/>
    <cellStyle name="Normal 9 2 4 2 3 3 2" xfId="14162" xr:uid="{3B6315DA-3CAD-4901-889D-CDD0A93CEC53}"/>
    <cellStyle name="Normal 9 2 4 2 3 4" xfId="9947" xr:uid="{16E9950A-FAF9-45E9-8BAA-802E2D20D4D4}"/>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0" xr:uid="{2F1F39F9-9507-4446-8B45-92C05CCAEE8F}"/>
    <cellStyle name="Normal 9 2 4 2 4 2 3" xfId="12505" xr:uid="{BBEB3EBE-7CF4-4FB5-B4BA-16ABA535C82C}"/>
    <cellStyle name="Normal 9 2 4 2 4 3" xfId="6128" xr:uid="{00000000-0005-0000-0000-0000691F0000}"/>
    <cellStyle name="Normal 9 2 4 2 4 3 2" xfId="14575" xr:uid="{6EFE6377-3790-4093-B777-FFA3086D8152}"/>
    <cellStyle name="Normal 9 2 4 2 4 4" xfId="10360" xr:uid="{ACACF70E-ADF1-4870-8EDB-1422D9129F2E}"/>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3" xr:uid="{59F7E247-F2A1-487F-8210-13B826E02AFD}"/>
    <cellStyle name="Normal 9 2 4 2 5 2 3" xfId="12918" xr:uid="{CDD4A349-D9AE-4626-94B4-B8A9627AE022}"/>
    <cellStyle name="Normal 9 2 4 2 5 3" xfId="6541" xr:uid="{00000000-0005-0000-0000-00006D1F0000}"/>
    <cellStyle name="Normal 9 2 4 2 5 3 2" xfId="14988" xr:uid="{6245FEA8-9E83-48A3-9603-720526A619CA}"/>
    <cellStyle name="Normal 9 2 4 2 5 4" xfId="10773" xr:uid="{16DC6003-FEA0-4632-B0B2-7EB3698600DF}"/>
    <cellStyle name="Normal 9 2 4 2 6" xfId="2671" xr:uid="{00000000-0005-0000-0000-00006E1F0000}"/>
    <cellStyle name="Normal 9 2 4 2 6 2" xfId="6954" xr:uid="{00000000-0005-0000-0000-00006F1F0000}"/>
    <cellStyle name="Normal 9 2 4 2 6 2 2" xfId="15401" xr:uid="{61CBDF42-49CC-4C68-B6D1-71B08025215A}"/>
    <cellStyle name="Normal 9 2 4 2 6 3" xfId="11186" xr:uid="{B317E18C-4D4D-4518-BD29-D90078E2CA99}"/>
    <cellStyle name="Normal 9 2 4 2 7" xfId="4889" xr:uid="{00000000-0005-0000-0000-0000701F0000}"/>
    <cellStyle name="Normal 9 2 4 2 7 2" xfId="13336" xr:uid="{35C7E558-FF6E-4B65-ADE1-0480A2AA4CA4}"/>
    <cellStyle name="Normal 9 2 4 2 8" xfId="9121" xr:uid="{22148EBA-4ADA-4573-8C1F-BD3D9F67C57A}"/>
    <cellStyle name="Normal 9 2 4 3" xfId="991" xr:uid="{00000000-0005-0000-0000-0000711F0000}"/>
    <cellStyle name="Normal 9 2 4 3 2" xfId="3224" xr:uid="{00000000-0005-0000-0000-0000721F0000}"/>
    <cellStyle name="Normal 9 2 4 3 2 2" xfId="7446" xr:uid="{00000000-0005-0000-0000-0000731F0000}"/>
    <cellStyle name="Normal 9 2 4 3 2 2 2" xfId="15893" xr:uid="{85825603-7642-4AF7-88C1-C61BC5491123}"/>
    <cellStyle name="Normal 9 2 4 3 2 3" xfId="11678" xr:uid="{D5F230DF-B27E-4022-ADCE-67378E7080D1}"/>
    <cellStyle name="Normal 9 2 4 3 3" xfId="5301" xr:uid="{00000000-0005-0000-0000-0000741F0000}"/>
    <cellStyle name="Normal 9 2 4 3 3 2" xfId="13748" xr:uid="{B8853847-0F36-4F22-B523-06A68F0AA989}"/>
    <cellStyle name="Normal 9 2 4 3 4" xfId="9533" xr:uid="{C585F0F6-7A86-48B7-9650-4BC0E099B812}"/>
    <cellStyle name="Normal 9 2 4 4" xfId="1407" xr:uid="{00000000-0005-0000-0000-0000751F0000}"/>
    <cellStyle name="Normal 9 2 4 4 2" xfId="3637" xr:uid="{00000000-0005-0000-0000-0000761F0000}"/>
    <cellStyle name="Normal 9 2 4 4 2 2" xfId="7859" xr:uid="{00000000-0005-0000-0000-0000771F0000}"/>
    <cellStyle name="Normal 9 2 4 4 2 2 2" xfId="16306" xr:uid="{BF5B6E92-4AD5-452C-A9F9-4107DBF32366}"/>
    <cellStyle name="Normal 9 2 4 4 2 3" xfId="12091" xr:uid="{3AA6A9A3-EA37-4FC9-A3D6-169A37444136}"/>
    <cellStyle name="Normal 9 2 4 4 3" xfId="5714" xr:uid="{00000000-0005-0000-0000-0000781F0000}"/>
    <cellStyle name="Normal 9 2 4 4 3 2" xfId="14161" xr:uid="{FD6081E6-1193-4674-ACED-F3478A1727EB}"/>
    <cellStyle name="Normal 9 2 4 4 4" xfId="9946" xr:uid="{37A91408-C8C8-49E7-911D-0335FDD4A7FC}"/>
    <cellStyle name="Normal 9 2 4 5" xfId="1820" xr:uid="{00000000-0005-0000-0000-0000791F0000}"/>
    <cellStyle name="Normal 9 2 4 5 2" xfId="4050" xr:uid="{00000000-0005-0000-0000-00007A1F0000}"/>
    <cellStyle name="Normal 9 2 4 5 2 2" xfId="8272" xr:uid="{00000000-0005-0000-0000-00007B1F0000}"/>
    <cellStyle name="Normal 9 2 4 5 2 2 2" xfId="16719" xr:uid="{05EAE493-0ED7-431C-B35C-466BC475F779}"/>
    <cellStyle name="Normal 9 2 4 5 2 3" xfId="12504" xr:uid="{C5403730-E4EF-4E29-BB25-A7092525C34D}"/>
    <cellStyle name="Normal 9 2 4 5 3" xfId="6127" xr:uid="{00000000-0005-0000-0000-00007C1F0000}"/>
    <cellStyle name="Normal 9 2 4 5 3 2" xfId="14574" xr:uid="{DB910F44-F41C-40B9-9C5A-1D3531634B92}"/>
    <cellStyle name="Normal 9 2 4 5 4" xfId="10359" xr:uid="{482E580C-2B87-4CC5-81FD-BB2FFAC5A166}"/>
    <cellStyle name="Normal 9 2 4 6" xfId="2234" xr:uid="{00000000-0005-0000-0000-00007D1F0000}"/>
    <cellStyle name="Normal 9 2 4 6 2" xfId="4463" xr:uid="{00000000-0005-0000-0000-00007E1F0000}"/>
    <cellStyle name="Normal 9 2 4 6 2 2" xfId="8685" xr:uid="{00000000-0005-0000-0000-00007F1F0000}"/>
    <cellStyle name="Normal 9 2 4 6 2 2 2" xfId="17132" xr:uid="{532A2396-D869-4D93-A24A-1996D9C53AE1}"/>
    <cellStyle name="Normal 9 2 4 6 2 3" xfId="12917" xr:uid="{59950FC7-7498-4ED9-8F68-5E587203F810}"/>
    <cellStyle name="Normal 9 2 4 6 3" xfId="6540" xr:uid="{00000000-0005-0000-0000-0000801F0000}"/>
    <cellStyle name="Normal 9 2 4 6 3 2" xfId="14987" xr:uid="{02C741C5-134F-48E3-A9F3-FCA5818FCA03}"/>
    <cellStyle name="Normal 9 2 4 6 4" xfId="10772" xr:uid="{8CE35AE9-5E8A-4D30-BD98-FA2C6C6A3F15}"/>
    <cellStyle name="Normal 9 2 4 7" xfId="2670" xr:uid="{00000000-0005-0000-0000-0000811F0000}"/>
    <cellStyle name="Normal 9 2 4 7 2" xfId="6953" xr:uid="{00000000-0005-0000-0000-0000821F0000}"/>
    <cellStyle name="Normal 9 2 4 7 2 2" xfId="15400" xr:uid="{69CA358B-911E-41E7-9C20-A0CB1CDB149A}"/>
    <cellStyle name="Normal 9 2 4 7 3" xfId="11185" xr:uid="{09A53014-EEB4-454A-9C3B-E27683435E1D}"/>
    <cellStyle name="Normal 9 2 4 8" xfId="4888" xr:uid="{00000000-0005-0000-0000-0000831F0000}"/>
    <cellStyle name="Normal 9 2 4 8 2" xfId="13335" xr:uid="{914F9F7E-4CE4-4CB0-9B10-CF9B04744A62}"/>
    <cellStyle name="Normal 9 2 4 9" xfId="9120" xr:uid="{7F507C93-8C0A-484E-8A2D-DF6040DBCFC9}"/>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5" xr:uid="{09795B59-57A6-4C57-BEA9-561B68CE7A1E}"/>
    <cellStyle name="Normal 9 2 5 2 2 3" xfId="11680" xr:uid="{A1F539EE-A872-4D4E-B6E8-1BB390802596}"/>
    <cellStyle name="Normal 9 2 5 2 3" xfId="5303" xr:uid="{00000000-0005-0000-0000-0000881F0000}"/>
    <cellStyle name="Normal 9 2 5 2 3 2" xfId="13750" xr:uid="{640D18C1-FF72-4D71-AE2B-044DEB3F1CA2}"/>
    <cellStyle name="Normal 9 2 5 2 4" xfId="9535" xr:uid="{5A93AC03-AD0B-4EFC-A679-1C2EFA1F4BF9}"/>
    <cellStyle name="Normal 9 2 5 3" xfId="1409" xr:uid="{00000000-0005-0000-0000-0000891F0000}"/>
    <cellStyle name="Normal 9 2 5 3 2" xfId="3639" xr:uid="{00000000-0005-0000-0000-00008A1F0000}"/>
    <cellStyle name="Normal 9 2 5 3 2 2" xfId="7861" xr:uid="{00000000-0005-0000-0000-00008B1F0000}"/>
    <cellStyle name="Normal 9 2 5 3 2 2 2" xfId="16308" xr:uid="{92BCEE46-0E09-4995-A10D-C7D17328A849}"/>
    <cellStyle name="Normal 9 2 5 3 2 3" xfId="12093" xr:uid="{371FED5F-2CB6-420A-842E-64D75EC24D00}"/>
    <cellStyle name="Normal 9 2 5 3 3" xfId="5716" xr:uid="{00000000-0005-0000-0000-00008C1F0000}"/>
    <cellStyle name="Normal 9 2 5 3 3 2" xfId="14163" xr:uid="{38D4ABDD-584A-4BA1-9685-53E703D97C98}"/>
    <cellStyle name="Normal 9 2 5 3 4" xfId="9948" xr:uid="{D50AB13C-CBD6-4DA7-9DFE-BDEA753F693B}"/>
    <cellStyle name="Normal 9 2 5 4" xfId="1822" xr:uid="{00000000-0005-0000-0000-00008D1F0000}"/>
    <cellStyle name="Normal 9 2 5 4 2" xfId="4052" xr:uid="{00000000-0005-0000-0000-00008E1F0000}"/>
    <cellStyle name="Normal 9 2 5 4 2 2" xfId="8274" xr:uid="{00000000-0005-0000-0000-00008F1F0000}"/>
    <cellStyle name="Normal 9 2 5 4 2 2 2" xfId="16721" xr:uid="{FD4BD72B-C9AC-4169-B8C1-50C92801CE08}"/>
    <cellStyle name="Normal 9 2 5 4 2 3" xfId="12506" xr:uid="{BCC84F09-5BE0-4F04-9420-DC1DD43C20EC}"/>
    <cellStyle name="Normal 9 2 5 4 3" xfId="6129" xr:uid="{00000000-0005-0000-0000-0000901F0000}"/>
    <cellStyle name="Normal 9 2 5 4 3 2" xfId="14576" xr:uid="{32BB2FBC-E14C-4F98-AC53-150AA0E1A882}"/>
    <cellStyle name="Normal 9 2 5 4 4" xfId="10361" xr:uid="{D98F92DF-3C90-404F-BFB9-707CF40326EE}"/>
    <cellStyle name="Normal 9 2 5 5" xfId="2236" xr:uid="{00000000-0005-0000-0000-0000911F0000}"/>
    <cellStyle name="Normal 9 2 5 5 2" xfId="4465" xr:uid="{00000000-0005-0000-0000-0000921F0000}"/>
    <cellStyle name="Normal 9 2 5 5 2 2" xfId="8687" xr:uid="{00000000-0005-0000-0000-0000931F0000}"/>
    <cellStyle name="Normal 9 2 5 5 2 2 2" xfId="17134" xr:uid="{740827BE-C4ED-42A2-8908-C2C333301B00}"/>
    <cellStyle name="Normal 9 2 5 5 2 3" xfId="12919" xr:uid="{AD483D82-4C8E-4E38-A016-11CBA616EFFE}"/>
    <cellStyle name="Normal 9 2 5 5 3" xfId="6542" xr:uid="{00000000-0005-0000-0000-0000941F0000}"/>
    <cellStyle name="Normal 9 2 5 5 3 2" xfId="14989" xr:uid="{B6E47342-CED9-470B-A423-D0AEF7BD6457}"/>
    <cellStyle name="Normal 9 2 5 5 4" xfId="10774" xr:uid="{91D155DA-84CF-4B35-A36E-A1C12B3111E7}"/>
    <cellStyle name="Normal 9 2 5 6" xfId="2672" xr:uid="{00000000-0005-0000-0000-0000951F0000}"/>
    <cellStyle name="Normal 9 2 5 6 2" xfId="6955" xr:uid="{00000000-0005-0000-0000-0000961F0000}"/>
    <cellStyle name="Normal 9 2 5 6 2 2" xfId="15402" xr:uid="{6BF32193-CFA9-4630-A39D-FA2D9E2101C6}"/>
    <cellStyle name="Normal 9 2 5 6 3" xfId="11187" xr:uid="{FDDBDDE9-2B94-4C5E-BE11-99782D438890}"/>
    <cellStyle name="Normal 9 2 5 7" xfId="4890" xr:uid="{00000000-0005-0000-0000-0000971F0000}"/>
    <cellStyle name="Normal 9 2 5 7 2" xfId="13337" xr:uid="{109D37AC-5E1E-4381-88DF-558EAF3EF0DF}"/>
    <cellStyle name="Normal 9 2 5 8" xfId="9122" xr:uid="{73232EC6-1E28-4121-BC0E-E47ECAD26C52}"/>
    <cellStyle name="Normal 9 2 6" xfId="978" xr:uid="{00000000-0005-0000-0000-0000981F0000}"/>
    <cellStyle name="Normal 9 2 6 2" xfId="3211" xr:uid="{00000000-0005-0000-0000-0000991F0000}"/>
    <cellStyle name="Normal 9 2 6 2 2" xfId="7433" xr:uid="{00000000-0005-0000-0000-00009A1F0000}"/>
    <cellStyle name="Normal 9 2 6 2 2 2" xfId="15880" xr:uid="{E300A234-1768-4F15-AA21-53197B8393B3}"/>
    <cellStyle name="Normal 9 2 6 2 3" xfId="11665" xr:uid="{87471C2D-2442-4A9E-ACC8-377041807868}"/>
    <cellStyle name="Normal 9 2 6 3" xfId="5288" xr:uid="{00000000-0005-0000-0000-00009B1F0000}"/>
    <cellStyle name="Normal 9 2 6 3 2" xfId="13735" xr:uid="{7EBC2E58-8EC0-4EB1-BEEA-69BBD2200B57}"/>
    <cellStyle name="Normal 9 2 6 4" xfId="9520" xr:uid="{086576A8-08E7-46C9-BC1B-B61CA9532299}"/>
    <cellStyle name="Normal 9 2 7" xfId="1394" xr:uid="{00000000-0005-0000-0000-00009C1F0000}"/>
    <cellStyle name="Normal 9 2 7 2" xfId="3624" xr:uid="{00000000-0005-0000-0000-00009D1F0000}"/>
    <cellStyle name="Normal 9 2 7 2 2" xfId="7846" xr:uid="{00000000-0005-0000-0000-00009E1F0000}"/>
    <cellStyle name="Normal 9 2 7 2 2 2" xfId="16293" xr:uid="{C767DB3A-4B04-454D-A94D-A2926724E82F}"/>
    <cellStyle name="Normal 9 2 7 2 3" xfId="12078" xr:uid="{1549810F-92FF-4FB4-9892-DB76CA393E85}"/>
    <cellStyle name="Normal 9 2 7 3" xfId="5701" xr:uid="{00000000-0005-0000-0000-00009F1F0000}"/>
    <cellStyle name="Normal 9 2 7 3 2" xfId="14148" xr:uid="{B5931BA7-7BD9-489F-93A1-43A6434A3274}"/>
    <cellStyle name="Normal 9 2 7 4" xfId="9933" xr:uid="{21A3DDB6-05B2-4B6F-9576-E520D741F361}"/>
    <cellStyle name="Normal 9 2 8" xfId="1807" xr:uid="{00000000-0005-0000-0000-0000A01F0000}"/>
    <cellStyle name="Normal 9 2 8 2" xfId="4037" xr:uid="{00000000-0005-0000-0000-0000A11F0000}"/>
    <cellStyle name="Normal 9 2 8 2 2" xfId="8259" xr:uid="{00000000-0005-0000-0000-0000A21F0000}"/>
    <cellStyle name="Normal 9 2 8 2 2 2" xfId="16706" xr:uid="{79085A10-4A03-4564-9587-7AAD2434F789}"/>
    <cellStyle name="Normal 9 2 8 2 3" xfId="12491" xr:uid="{761B7AC0-99BE-4D0C-86F8-CFA80605ED36}"/>
    <cellStyle name="Normal 9 2 8 3" xfId="6114" xr:uid="{00000000-0005-0000-0000-0000A31F0000}"/>
    <cellStyle name="Normal 9 2 8 3 2" xfId="14561" xr:uid="{6620C2F2-7B6B-4ABD-9D1E-249D74DE8376}"/>
    <cellStyle name="Normal 9 2 8 4" xfId="10346" xr:uid="{C758AABA-5BE4-4DCC-A1B0-0C2C862B41F9}"/>
    <cellStyle name="Normal 9 2 9" xfId="2221" xr:uid="{00000000-0005-0000-0000-0000A41F0000}"/>
    <cellStyle name="Normal 9 2 9 2" xfId="4450" xr:uid="{00000000-0005-0000-0000-0000A51F0000}"/>
    <cellStyle name="Normal 9 2 9 2 2" xfId="8672" xr:uid="{00000000-0005-0000-0000-0000A61F0000}"/>
    <cellStyle name="Normal 9 2 9 2 2 2" xfId="17119" xr:uid="{92143EA6-F344-4F6B-9DC2-693BC238C264}"/>
    <cellStyle name="Normal 9 2 9 2 3" xfId="12904" xr:uid="{81CC1C8A-CED0-495A-8B5F-D5311A58C43F}"/>
    <cellStyle name="Normal 9 2 9 3" xfId="6527" xr:uid="{00000000-0005-0000-0000-0000A71F0000}"/>
    <cellStyle name="Normal 9 2 9 3 2" xfId="14974" xr:uid="{44FED48F-6240-4C6A-857C-8C92DF08E731}"/>
    <cellStyle name="Normal 9 2 9 4" xfId="10759" xr:uid="{8349B1EA-AC82-4A54-9B26-5664C33E9A61}"/>
    <cellStyle name="Normal 9 3" xfId="527" xr:uid="{00000000-0005-0000-0000-0000A81F0000}"/>
    <cellStyle name="Normal 9 3 10" xfId="4891" xr:uid="{00000000-0005-0000-0000-0000A91F0000}"/>
    <cellStyle name="Normal 9 3 10 2" xfId="13338" xr:uid="{D64B713A-8AC7-4559-864D-D60CF309745B}"/>
    <cellStyle name="Normal 9 3 11" xfId="9123" xr:uid="{D47686D8-F45E-4921-887B-03F80BE99E12}"/>
    <cellStyle name="Normal 9 3 2" xfId="528" xr:uid="{00000000-0005-0000-0000-0000AA1F0000}"/>
    <cellStyle name="Normal 9 3 2 10" xfId="9124" xr:uid="{B4736B7D-D617-4278-9241-06698977AF59}"/>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899" xr:uid="{318D46EB-DE97-477B-A639-6EC4F45433F2}"/>
    <cellStyle name="Normal 9 3 2 2 2 2 2 3" xfId="11684" xr:uid="{FF8E35C5-B7B3-425E-B26B-7554147AFB15}"/>
    <cellStyle name="Normal 9 3 2 2 2 2 3" xfId="5307" xr:uid="{00000000-0005-0000-0000-0000B01F0000}"/>
    <cellStyle name="Normal 9 3 2 2 2 2 3 2" xfId="13754" xr:uid="{8A208799-D63F-4B44-AE30-C1B84359656E}"/>
    <cellStyle name="Normal 9 3 2 2 2 2 4" xfId="9539" xr:uid="{89272819-C3E8-4FB3-870C-2E7D43C9D615}"/>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2" xr:uid="{911DF0A9-63EB-4317-85B1-AD7D8F010836}"/>
    <cellStyle name="Normal 9 3 2 2 2 3 2 3" xfId="12097" xr:uid="{ADCF3CEC-1ED6-4A7F-B010-24713B0F94D9}"/>
    <cellStyle name="Normal 9 3 2 2 2 3 3" xfId="5720" xr:uid="{00000000-0005-0000-0000-0000B41F0000}"/>
    <cellStyle name="Normal 9 3 2 2 2 3 3 2" xfId="14167" xr:uid="{0D93B74A-A6CD-4D42-8305-96EA6D888F5A}"/>
    <cellStyle name="Normal 9 3 2 2 2 3 4" xfId="9952" xr:uid="{AA7166EB-DA5B-46AC-A1F4-E19F9E4B1A4E}"/>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5" xr:uid="{D1C6F0C8-A783-430B-8753-1DE345AA1C76}"/>
    <cellStyle name="Normal 9 3 2 2 2 4 2 3" xfId="12510" xr:uid="{26C4F8D3-BD3A-4B15-BA5D-D7725611E19E}"/>
    <cellStyle name="Normal 9 3 2 2 2 4 3" xfId="6133" xr:uid="{00000000-0005-0000-0000-0000B81F0000}"/>
    <cellStyle name="Normal 9 3 2 2 2 4 3 2" xfId="14580" xr:uid="{B75364D0-51E1-4D63-A815-9B3708A67203}"/>
    <cellStyle name="Normal 9 3 2 2 2 4 4" xfId="10365" xr:uid="{28047E2A-C22F-4E82-A9B1-881CA3ABCC4B}"/>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38" xr:uid="{070CAC6F-A147-416B-AFDA-B1E724EE218E}"/>
    <cellStyle name="Normal 9 3 2 2 2 5 2 3" xfId="12923" xr:uid="{0258D99F-C209-4C99-8ED0-4E838597F928}"/>
    <cellStyle name="Normal 9 3 2 2 2 5 3" xfId="6546" xr:uid="{00000000-0005-0000-0000-0000BC1F0000}"/>
    <cellStyle name="Normal 9 3 2 2 2 5 3 2" xfId="14993" xr:uid="{1FC8BD85-5BEA-4406-A98B-0CBFF3588594}"/>
    <cellStyle name="Normal 9 3 2 2 2 5 4" xfId="10778" xr:uid="{823A0074-E51B-4AA1-AF42-5811872ACB06}"/>
    <cellStyle name="Normal 9 3 2 2 2 6" xfId="2676" xr:uid="{00000000-0005-0000-0000-0000BD1F0000}"/>
    <cellStyle name="Normal 9 3 2 2 2 6 2" xfId="6959" xr:uid="{00000000-0005-0000-0000-0000BE1F0000}"/>
    <cellStyle name="Normal 9 3 2 2 2 6 2 2" xfId="15406" xr:uid="{B39A0DE6-A677-4D26-A41A-139322CDFDB5}"/>
    <cellStyle name="Normal 9 3 2 2 2 6 3" xfId="11191" xr:uid="{E9AA0965-7E53-40BF-AF7B-83649B1582D7}"/>
    <cellStyle name="Normal 9 3 2 2 2 7" xfId="4894" xr:uid="{00000000-0005-0000-0000-0000BF1F0000}"/>
    <cellStyle name="Normal 9 3 2 2 2 7 2" xfId="13341" xr:uid="{1DE3CB3E-5CD9-4D1C-B729-83DFC2F55608}"/>
    <cellStyle name="Normal 9 3 2 2 2 8" xfId="9126" xr:uid="{D82B6EAC-6782-40E7-AC62-6D793D4E03CC}"/>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898" xr:uid="{1E27CAE5-4E03-45A7-9045-EC7EEDF60D20}"/>
    <cellStyle name="Normal 9 3 2 2 3 2 3" xfId="11683" xr:uid="{67A6CA5E-6EE1-4039-856C-595964657C28}"/>
    <cellStyle name="Normal 9 3 2 2 3 3" xfId="5306" xr:uid="{00000000-0005-0000-0000-0000C31F0000}"/>
    <cellStyle name="Normal 9 3 2 2 3 3 2" xfId="13753" xr:uid="{654E1CA2-1616-4A9E-B837-25D5B11864FD}"/>
    <cellStyle name="Normal 9 3 2 2 3 4" xfId="9538" xr:uid="{88A81E02-C9EE-40B1-B506-857298C2CAE5}"/>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1" xr:uid="{04CE68C7-D411-430A-858D-B157D14863C2}"/>
    <cellStyle name="Normal 9 3 2 2 4 2 3" xfId="12096" xr:uid="{891762D1-AA79-4731-BE28-CB977E7C8615}"/>
    <cellStyle name="Normal 9 3 2 2 4 3" xfId="5719" xr:uid="{00000000-0005-0000-0000-0000C71F0000}"/>
    <cellStyle name="Normal 9 3 2 2 4 3 2" xfId="14166" xr:uid="{3A6ADE98-7822-496F-A1B6-EC82C16C0EE5}"/>
    <cellStyle name="Normal 9 3 2 2 4 4" xfId="9951" xr:uid="{AC72B5CA-3128-4067-A7EB-F2B3CDDBF74A}"/>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4" xr:uid="{C22126F5-8C43-415D-B1F8-622D72B5EEC6}"/>
    <cellStyle name="Normal 9 3 2 2 5 2 3" xfId="12509" xr:uid="{49B1A770-BFDF-4BC6-96D8-40666C816563}"/>
    <cellStyle name="Normal 9 3 2 2 5 3" xfId="6132" xr:uid="{00000000-0005-0000-0000-0000CB1F0000}"/>
    <cellStyle name="Normal 9 3 2 2 5 3 2" xfId="14579" xr:uid="{1A7D62C3-597E-42F4-8A46-A2B44429232E}"/>
    <cellStyle name="Normal 9 3 2 2 5 4" xfId="10364" xr:uid="{77B5C3E0-5F51-433F-81D9-A3C6FE443054}"/>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37" xr:uid="{1FC9C745-5D8C-449C-A661-138CE06F59F9}"/>
    <cellStyle name="Normal 9 3 2 2 6 2 3" xfId="12922" xr:uid="{06E44B7D-A1AD-4FEE-8E8E-C96A21C2562A}"/>
    <cellStyle name="Normal 9 3 2 2 6 3" xfId="6545" xr:uid="{00000000-0005-0000-0000-0000CF1F0000}"/>
    <cellStyle name="Normal 9 3 2 2 6 3 2" xfId="14992" xr:uid="{2FAE4580-CB12-4DD1-A651-DCB9EDF0F87F}"/>
    <cellStyle name="Normal 9 3 2 2 6 4" xfId="10777" xr:uid="{19A0AAE9-80B5-478C-B4AA-45B745E85BEA}"/>
    <cellStyle name="Normal 9 3 2 2 7" xfId="2675" xr:uid="{00000000-0005-0000-0000-0000D01F0000}"/>
    <cellStyle name="Normal 9 3 2 2 7 2" xfId="6958" xr:uid="{00000000-0005-0000-0000-0000D11F0000}"/>
    <cellStyle name="Normal 9 3 2 2 7 2 2" xfId="15405" xr:uid="{58DC9D24-1BB6-4E1C-A3D4-8C1A9BCCD70B}"/>
    <cellStyle name="Normal 9 3 2 2 7 3" xfId="11190" xr:uid="{CF248B74-3816-46A7-80B5-DA1A2C058839}"/>
    <cellStyle name="Normal 9 3 2 2 8" xfId="4893" xr:uid="{00000000-0005-0000-0000-0000D21F0000}"/>
    <cellStyle name="Normal 9 3 2 2 8 2" xfId="13340" xr:uid="{DCF245E4-DDEE-44ED-82D4-A0964A25F4B3}"/>
    <cellStyle name="Normal 9 3 2 2 9" xfId="9125" xr:uid="{F7A66019-092F-4698-9F72-821886F9B893}"/>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0" xr:uid="{CB342B02-86F9-49AC-8EDA-350BE0807A89}"/>
    <cellStyle name="Normal 9 3 2 3 2 2 3" xfId="11685" xr:uid="{612F039D-E7C5-4A59-9BB2-6D26D479ED99}"/>
    <cellStyle name="Normal 9 3 2 3 2 3" xfId="5308" xr:uid="{00000000-0005-0000-0000-0000D71F0000}"/>
    <cellStyle name="Normal 9 3 2 3 2 3 2" xfId="13755" xr:uid="{D96F41AD-35A4-4C03-B438-A27516457C98}"/>
    <cellStyle name="Normal 9 3 2 3 2 4" xfId="9540" xr:uid="{22E5E3C4-9634-4E43-8C48-5335DA504C16}"/>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3" xr:uid="{31407A67-474F-480D-BF73-822B338C1E1B}"/>
    <cellStyle name="Normal 9 3 2 3 3 2 3" xfId="12098" xr:uid="{19771468-65A3-4588-BB24-9A5868B6AA29}"/>
    <cellStyle name="Normal 9 3 2 3 3 3" xfId="5721" xr:uid="{00000000-0005-0000-0000-0000DB1F0000}"/>
    <cellStyle name="Normal 9 3 2 3 3 3 2" xfId="14168" xr:uid="{B42859A5-A292-4553-B959-FADA879A3129}"/>
    <cellStyle name="Normal 9 3 2 3 3 4" xfId="9953" xr:uid="{37F694C3-ED57-4F4B-BE27-F60D2FAE3474}"/>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6" xr:uid="{1A601030-4904-48E7-8898-59E6A79C9022}"/>
    <cellStyle name="Normal 9 3 2 3 4 2 3" xfId="12511" xr:uid="{FE28B741-7CDF-4476-8053-5C7EEFDC90D6}"/>
    <cellStyle name="Normal 9 3 2 3 4 3" xfId="6134" xr:uid="{00000000-0005-0000-0000-0000DF1F0000}"/>
    <cellStyle name="Normal 9 3 2 3 4 3 2" xfId="14581" xr:uid="{EA258DE5-A153-4E30-9E21-0ACEF3F60284}"/>
    <cellStyle name="Normal 9 3 2 3 4 4" xfId="10366" xr:uid="{FB7F07BB-DA56-4FEC-9548-925B1C0E9A82}"/>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39" xr:uid="{580D2DFE-7489-4108-830A-D5F7BCBFD99B}"/>
    <cellStyle name="Normal 9 3 2 3 5 2 3" xfId="12924" xr:uid="{9F29D31C-CE95-4D51-927D-51C14353BCF2}"/>
    <cellStyle name="Normal 9 3 2 3 5 3" xfId="6547" xr:uid="{00000000-0005-0000-0000-0000E31F0000}"/>
    <cellStyle name="Normal 9 3 2 3 5 3 2" xfId="14994" xr:uid="{ED937F27-99BB-4351-8D3E-4A33C768A8D7}"/>
    <cellStyle name="Normal 9 3 2 3 5 4" xfId="10779" xr:uid="{1B06AA4C-075C-4356-892B-E309DEB698D5}"/>
    <cellStyle name="Normal 9 3 2 3 6" xfId="2677" xr:uid="{00000000-0005-0000-0000-0000E41F0000}"/>
    <cellStyle name="Normal 9 3 2 3 6 2" xfId="6960" xr:uid="{00000000-0005-0000-0000-0000E51F0000}"/>
    <cellStyle name="Normal 9 3 2 3 6 2 2" xfId="15407" xr:uid="{9A35BA48-DF22-44B3-A954-0C74B72015F6}"/>
    <cellStyle name="Normal 9 3 2 3 6 3" xfId="11192" xr:uid="{23EB18DD-74ED-41D4-9334-51EB46222D8F}"/>
    <cellStyle name="Normal 9 3 2 3 7" xfId="4895" xr:uid="{00000000-0005-0000-0000-0000E61F0000}"/>
    <cellStyle name="Normal 9 3 2 3 7 2" xfId="13342" xr:uid="{79022847-000F-41B8-AE5C-47DD9C71DA4A}"/>
    <cellStyle name="Normal 9 3 2 3 8" xfId="9127" xr:uid="{B58CC2A8-F58B-4E35-8DE1-DB4CBCD8046B}"/>
    <cellStyle name="Normal 9 3 2 4" xfId="995" xr:uid="{00000000-0005-0000-0000-0000E71F0000}"/>
    <cellStyle name="Normal 9 3 2 4 2" xfId="3228" xr:uid="{00000000-0005-0000-0000-0000E81F0000}"/>
    <cellStyle name="Normal 9 3 2 4 2 2" xfId="7450" xr:uid="{00000000-0005-0000-0000-0000E91F0000}"/>
    <cellStyle name="Normal 9 3 2 4 2 2 2" xfId="15897" xr:uid="{C8420A98-6EFF-4E32-A755-457515330CAF}"/>
    <cellStyle name="Normal 9 3 2 4 2 3" xfId="11682" xr:uid="{951AA02F-4D56-4541-8B5A-9DC25985B63F}"/>
    <cellStyle name="Normal 9 3 2 4 3" xfId="5305" xr:uid="{00000000-0005-0000-0000-0000EA1F0000}"/>
    <cellStyle name="Normal 9 3 2 4 3 2" xfId="13752" xr:uid="{27FCE9C5-E6D3-4208-B20E-BDC0CDEFE81A}"/>
    <cellStyle name="Normal 9 3 2 4 4" xfId="9537" xr:uid="{966E5524-6788-4232-AC35-932CDDB5E9EF}"/>
    <cellStyle name="Normal 9 3 2 5" xfId="1411" xr:uid="{00000000-0005-0000-0000-0000EB1F0000}"/>
    <cellStyle name="Normal 9 3 2 5 2" xfId="3641" xr:uid="{00000000-0005-0000-0000-0000EC1F0000}"/>
    <cellStyle name="Normal 9 3 2 5 2 2" xfId="7863" xr:uid="{00000000-0005-0000-0000-0000ED1F0000}"/>
    <cellStyle name="Normal 9 3 2 5 2 2 2" xfId="16310" xr:uid="{08394660-094F-4B1B-82F1-5B583DB0CE80}"/>
    <cellStyle name="Normal 9 3 2 5 2 3" xfId="12095" xr:uid="{1CADE3D7-86AA-4844-8C0C-030CA2F3C3D6}"/>
    <cellStyle name="Normal 9 3 2 5 3" xfId="5718" xr:uid="{00000000-0005-0000-0000-0000EE1F0000}"/>
    <cellStyle name="Normal 9 3 2 5 3 2" xfId="14165" xr:uid="{587A386D-10FA-4935-A4C5-E45A70FB8E7B}"/>
    <cellStyle name="Normal 9 3 2 5 4" xfId="9950" xr:uid="{A4AC18A9-CE18-4C0A-9ACF-B056EF522AB0}"/>
    <cellStyle name="Normal 9 3 2 6" xfId="1824" xr:uid="{00000000-0005-0000-0000-0000EF1F0000}"/>
    <cellStyle name="Normal 9 3 2 6 2" xfId="4054" xr:uid="{00000000-0005-0000-0000-0000F01F0000}"/>
    <cellStyle name="Normal 9 3 2 6 2 2" xfId="8276" xr:uid="{00000000-0005-0000-0000-0000F11F0000}"/>
    <cellStyle name="Normal 9 3 2 6 2 2 2" xfId="16723" xr:uid="{ED6F4CE4-552D-4136-B5FA-0DED541310F9}"/>
    <cellStyle name="Normal 9 3 2 6 2 3" xfId="12508" xr:uid="{9E734772-F0B3-40C2-AE7B-3B9A5B0B9FBB}"/>
    <cellStyle name="Normal 9 3 2 6 3" xfId="6131" xr:uid="{00000000-0005-0000-0000-0000F21F0000}"/>
    <cellStyle name="Normal 9 3 2 6 3 2" xfId="14578" xr:uid="{618F6173-AFE3-49C7-9301-E83F86B77706}"/>
    <cellStyle name="Normal 9 3 2 6 4" xfId="10363" xr:uid="{539D477B-131E-40BA-BAA3-A854D3104EAA}"/>
    <cellStyle name="Normal 9 3 2 7" xfId="2238" xr:uid="{00000000-0005-0000-0000-0000F31F0000}"/>
    <cellStyle name="Normal 9 3 2 7 2" xfId="4467" xr:uid="{00000000-0005-0000-0000-0000F41F0000}"/>
    <cellStyle name="Normal 9 3 2 7 2 2" xfId="8689" xr:uid="{00000000-0005-0000-0000-0000F51F0000}"/>
    <cellStyle name="Normal 9 3 2 7 2 2 2" xfId="17136" xr:uid="{D05E5301-4B95-47CD-9CAF-BE5F75291E8F}"/>
    <cellStyle name="Normal 9 3 2 7 2 3" xfId="12921" xr:uid="{4B48ACFC-DDC7-446A-AFC7-FC13ACB2C3EB}"/>
    <cellStyle name="Normal 9 3 2 7 3" xfId="6544" xr:uid="{00000000-0005-0000-0000-0000F61F0000}"/>
    <cellStyle name="Normal 9 3 2 7 3 2" xfId="14991" xr:uid="{3349C92B-7B5E-4443-930F-02C6AC4976E7}"/>
    <cellStyle name="Normal 9 3 2 7 4" xfId="10776" xr:uid="{D9F03F47-5F2E-4539-A036-E36F00F4446A}"/>
    <cellStyle name="Normal 9 3 2 8" xfId="2674" xr:uid="{00000000-0005-0000-0000-0000F71F0000}"/>
    <cellStyle name="Normal 9 3 2 8 2" xfId="6957" xr:uid="{00000000-0005-0000-0000-0000F81F0000}"/>
    <cellStyle name="Normal 9 3 2 8 2 2" xfId="15404" xr:uid="{CBA23896-97C9-493E-8D15-7F24DCAE072A}"/>
    <cellStyle name="Normal 9 3 2 8 3" xfId="11189" xr:uid="{D383745E-C4FC-4ADE-A09B-5839241E06A1}"/>
    <cellStyle name="Normal 9 3 2 9" xfId="4892" xr:uid="{00000000-0005-0000-0000-0000F91F0000}"/>
    <cellStyle name="Normal 9 3 2 9 2" xfId="13339" xr:uid="{79507AC8-8971-498E-B365-EB2F503C6159}"/>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2" xr:uid="{90548E00-F485-4392-B452-8BAD74067B08}"/>
    <cellStyle name="Normal 9 3 3 2 2 2 3" xfId="11687" xr:uid="{3183068E-5188-44F4-A250-6C06C2A02228}"/>
    <cellStyle name="Normal 9 3 3 2 2 3" xfId="5310" xr:uid="{00000000-0005-0000-0000-0000FF1F0000}"/>
    <cellStyle name="Normal 9 3 3 2 2 3 2" xfId="13757" xr:uid="{CD9FB387-B828-4FC0-A550-7DE1C531B77C}"/>
    <cellStyle name="Normal 9 3 3 2 2 4" xfId="9542" xr:uid="{3555535B-2255-448E-B4AB-C50350B2D112}"/>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5" xr:uid="{4D5CAA70-0292-438D-A034-72073F0AE746}"/>
    <cellStyle name="Normal 9 3 3 2 3 2 3" xfId="12100" xr:uid="{D01B9C68-D64B-4845-B1D1-4D7B66E89D4E}"/>
    <cellStyle name="Normal 9 3 3 2 3 3" xfId="5723" xr:uid="{00000000-0005-0000-0000-000003200000}"/>
    <cellStyle name="Normal 9 3 3 2 3 3 2" xfId="14170" xr:uid="{95ADFFA3-0FDD-4DF6-ACE3-4C5B52CA916D}"/>
    <cellStyle name="Normal 9 3 3 2 3 4" xfId="9955" xr:uid="{DA6E7976-EBC5-4E6D-8F40-C4CF8C63D852}"/>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28" xr:uid="{33DEB718-7BF7-45A0-82D8-20FF9EEC02FC}"/>
    <cellStyle name="Normal 9 3 3 2 4 2 3" xfId="12513" xr:uid="{AA60EC04-566F-47A5-80EC-68F987A9E014}"/>
    <cellStyle name="Normal 9 3 3 2 4 3" xfId="6136" xr:uid="{00000000-0005-0000-0000-000007200000}"/>
    <cellStyle name="Normal 9 3 3 2 4 3 2" xfId="14583" xr:uid="{AAA66DD8-479D-49A2-9A92-0DAD9EE2F4A2}"/>
    <cellStyle name="Normal 9 3 3 2 4 4" xfId="10368" xr:uid="{90170FF2-F43E-470E-B4DA-B9E2C5802EC3}"/>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1" xr:uid="{D7C54DEF-4335-467F-9513-8F9B0C589014}"/>
    <cellStyle name="Normal 9 3 3 2 5 2 3" xfId="12926" xr:uid="{53F7A65B-DCF0-43A8-8073-DE6CABB99D0D}"/>
    <cellStyle name="Normal 9 3 3 2 5 3" xfId="6549" xr:uid="{00000000-0005-0000-0000-00000B200000}"/>
    <cellStyle name="Normal 9 3 3 2 5 3 2" xfId="14996" xr:uid="{055E3BC2-4C99-47C0-BE44-EEFFB8DE68BF}"/>
    <cellStyle name="Normal 9 3 3 2 5 4" xfId="10781" xr:uid="{F49C572B-92A8-4EEA-8EA6-FCF9406324A6}"/>
    <cellStyle name="Normal 9 3 3 2 6" xfId="2679" xr:uid="{00000000-0005-0000-0000-00000C200000}"/>
    <cellStyle name="Normal 9 3 3 2 6 2" xfId="6962" xr:uid="{00000000-0005-0000-0000-00000D200000}"/>
    <cellStyle name="Normal 9 3 3 2 6 2 2" xfId="15409" xr:uid="{33ED19AC-CA6C-40A4-AD83-AE30F8BF00CD}"/>
    <cellStyle name="Normal 9 3 3 2 6 3" xfId="11194" xr:uid="{A591DE8D-0288-46FC-BDAA-6713B274D85D}"/>
    <cellStyle name="Normal 9 3 3 2 7" xfId="4897" xr:uid="{00000000-0005-0000-0000-00000E200000}"/>
    <cellStyle name="Normal 9 3 3 2 7 2" xfId="13344" xr:uid="{AB36AD63-097A-47BB-895F-60F8CB87620A}"/>
    <cellStyle name="Normal 9 3 3 2 8" xfId="9129" xr:uid="{3C6DD965-19C1-496D-B39A-EC1189F129CD}"/>
    <cellStyle name="Normal 9 3 3 3" xfId="999" xr:uid="{00000000-0005-0000-0000-00000F200000}"/>
    <cellStyle name="Normal 9 3 3 3 2" xfId="3232" xr:uid="{00000000-0005-0000-0000-000010200000}"/>
    <cellStyle name="Normal 9 3 3 3 2 2" xfId="7454" xr:uid="{00000000-0005-0000-0000-000011200000}"/>
    <cellStyle name="Normal 9 3 3 3 2 2 2" xfId="15901" xr:uid="{60C402C8-79B0-4DD2-B24B-760F25349E71}"/>
    <cellStyle name="Normal 9 3 3 3 2 3" xfId="11686" xr:uid="{EAC8A5F5-8EDB-4B89-AD40-B51163D291AB}"/>
    <cellStyle name="Normal 9 3 3 3 3" xfId="5309" xr:uid="{00000000-0005-0000-0000-000012200000}"/>
    <cellStyle name="Normal 9 3 3 3 3 2" xfId="13756" xr:uid="{F16B26A2-2F9C-420A-A9CA-4972F0A44A34}"/>
    <cellStyle name="Normal 9 3 3 3 4" xfId="9541" xr:uid="{A0568FF1-4294-4833-AB06-E2BCCF0ECA7C}"/>
    <cellStyle name="Normal 9 3 3 4" xfId="1415" xr:uid="{00000000-0005-0000-0000-000013200000}"/>
    <cellStyle name="Normal 9 3 3 4 2" xfId="3645" xr:uid="{00000000-0005-0000-0000-000014200000}"/>
    <cellStyle name="Normal 9 3 3 4 2 2" xfId="7867" xr:uid="{00000000-0005-0000-0000-000015200000}"/>
    <cellStyle name="Normal 9 3 3 4 2 2 2" xfId="16314" xr:uid="{726ADDE7-ABEC-480F-9EE6-0CB3E3F9A762}"/>
    <cellStyle name="Normal 9 3 3 4 2 3" xfId="12099" xr:uid="{87C6D2BC-C04C-42D6-9B67-5FC6579D90BB}"/>
    <cellStyle name="Normal 9 3 3 4 3" xfId="5722" xr:uid="{00000000-0005-0000-0000-000016200000}"/>
    <cellStyle name="Normal 9 3 3 4 3 2" xfId="14169" xr:uid="{79DA162A-E25E-41E5-AF1A-40E3A7A93698}"/>
    <cellStyle name="Normal 9 3 3 4 4" xfId="9954" xr:uid="{06B76046-D6AE-48EB-A8E1-0336B38CCDD8}"/>
    <cellStyle name="Normal 9 3 3 5" xfId="1828" xr:uid="{00000000-0005-0000-0000-000017200000}"/>
    <cellStyle name="Normal 9 3 3 5 2" xfId="4058" xr:uid="{00000000-0005-0000-0000-000018200000}"/>
    <cellStyle name="Normal 9 3 3 5 2 2" xfId="8280" xr:uid="{00000000-0005-0000-0000-000019200000}"/>
    <cellStyle name="Normal 9 3 3 5 2 2 2" xfId="16727" xr:uid="{BA39AA7C-8E8F-4B19-B532-7A6C06D2A8D3}"/>
    <cellStyle name="Normal 9 3 3 5 2 3" xfId="12512" xr:uid="{3D760450-BB0F-4FB9-AE95-0EF2C481E783}"/>
    <cellStyle name="Normal 9 3 3 5 3" xfId="6135" xr:uid="{00000000-0005-0000-0000-00001A200000}"/>
    <cellStyle name="Normal 9 3 3 5 3 2" xfId="14582" xr:uid="{6DF701A5-5B4E-4A12-8296-363A46CEE20C}"/>
    <cellStyle name="Normal 9 3 3 5 4" xfId="10367" xr:uid="{9B4774EA-DDD7-44BA-B03A-F37FD63143A6}"/>
    <cellStyle name="Normal 9 3 3 6" xfId="2242" xr:uid="{00000000-0005-0000-0000-00001B200000}"/>
    <cellStyle name="Normal 9 3 3 6 2" xfId="4471" xr:uid="{00000000-0005-0000-0000-00001C200000}"/>
    <cellStyle name="Normal 9 3 3 6 2 2" xfId="8693" xr:uid="{00000000-0005-0000-0000-00001D200000}"/>
    <cellStyle name="Normal 9 3 3 6 2 2 2" xfId="17140" xr:uid="{10EE6052-6469-44DC-94C5-2224492F97E6}"/>
    <cellStyle name="Normal 9 3 3 6 2 3" xfId="12925" xr:uid="{7A544EE4-DD75-4087-A43B-876DB04483FC}"/>
    <cellStyle name="Normal 9 3 3 6 3" xfId="6548" xr:uid="{00000000-0005-0000-0000-00001E200000}"/>
    <cellStyle name="Normal 9 3 3 6 3 2" xfId="14995" xr:uid="{6EC16F74-D345-4486-AA8A-CD6670F2092A}"/>
    <cellStyle name="Normal 9 3 3 6 4" xfId="10780" xr:uid="{48F9A112-E0DE-4180-B15D-B7BA58C6EF83}"/>
    <cellStyle name="Normal 9 3 3 7" xfId="2678" xr:uid="{00000000-0005-0000-0000-00001F200000}"/>
    <cellStyle name="Normal 9 3 3 7 2" xfId="6961" xr:uid="{00000000-0005-0000-0000-000020200000}"/>
    <cellStyle name="Normal 9 3 3 7 2 2" xfId="15408" xr:uid="{63AC9503-69D2-4EF3-B66A-7F83C7B6D7B3}"/>
    <cellStyle name="Normal 9 3 3 7 3" xfId="11193" xr:uid="{4068AE70-6921-4EB1-AA47-4B202F38AE20}"/>
    <cellStyle name="Normal 9 3 3 8" xfId="4896" xr:uid="{00000000-0005-0000-0000-000021200000}"/>
    <cellStyle name="Normal 9 3 3 8 2" xfId="13343" xr:uid="{7DE92FEA-0C1E-4DEB-AB4B-C3F0E9FBC2F1}"/>
    <cellStyle name="Normal 9 3 3 9" xfId="9128" xr:uid="{CC2354A4-7CBF-4601-A112-C7FE0E38AF79}"/>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3" xr:uid="{D4368CD0-5E74-4B59-AF20-9EFFC240683E}"/>
    <cellStyle name="Normal 9 3 4 2 2 3" xfId="11688" xr:uid="{0E5C4F76-3017-4EA3-88A9-EDC92FA49773}"/>
    <cellStyle name="Normal 9 3 4 2 3" xfId="5311" xr:uid="{00000000-0005-0000-0000-000026200000}"/>
    <cellStyle name="Normal 9 3 4 2 3 2" xfId="13758" xr:uid="{1925D0C4-611E-453A-A7FE-787436498115}"/>
    <cellStyle name="Normal 9 3 4 2 4" xfId="9543" xr:uid="{9CF6DE53-9DD6-46DA-B8C3-15511C068D96}"/>
    <cellStyle name="Normal 9 3 4 3" xfId="1417" xr:uid="{00000000-0005-0000-0000-000027200000}"/>
    <cellStyle name="Normal 9 3 4 3 2" xfId="3647" xr:uid="{00000000-0005-0000-0000-000028200000}"/>
    <cellStyle name="Normal 9 3 4 3 2 2" xfId="7869" xr:uid="{00000000-0005-0000-0000-000029200000}"/>
    <cellStyle name="Normal 9 3 4 3 2 2 2" xfId="16316" xr:uid="{D0A343CE-6E63-4F86-AD49-A1C1D583DB2C}"/>
    <cellStyle name="Normal 9 3 4 3 2 3" xfId="12101" xr:uid="{31CFAC89-6DF1-4BDD-9CD2-1BD5BEBEE12C}"/>
    <cellStyle name="Normal 9 3 4 3 3" xfId="5724" xr:uid="{00000000-0005-0000-0000-00002A200000}"/>
    <cellStyle name="Normal 9 3 4 3 3 2" xfId="14171" xr:uid="{7E1F2716-F1CD-4028-938D-531076591644}"/>
    <cellStyle name="Normal 9 3 4 3 4" xfId="9956" xr:uid="{FEA3E543-5303-4C80-8FA9-EF0490F83436}"/>
    <cellStyle name="Normal 9 3 4 4" xfId="1830" xr:uid="{00000000-0005-0000-0000-00002B200000}"/>
    <cellStyle name="Normal 9 3 4 4 2" xfId="4060" xr:uid="{00000000-0005-0000-0000-00002C200000}"/>
    <cellStyle name="Normal 9 3 4 4 2 2" xfId="8282" xr:uid="{00000000-0005-0000-0000-00002D200000}"/>
    <cellStyle name="Normal 9 3 4 4 2 2 2" xfId="16729" xr:uid="{477FFC3F-0A4C-4AE9-A609-9C5F5CE83CA2}"/>
    <cellStyle name="Normal 9 3 4 4 2 3" xfId="12514" xr:uid="{8A2AB59B-84FE-457A-B596-4BC955152333}"/>
    <cellStyle name="Normal 9 3 4 4 3" xfId="6137" xr:uid="{00000000-0005-0000-0000-00002E200000}"/>
    <cellStyle name="Normal 9 3 4 4 3 2" xfId="14584" xr:uid="{65AA7477-7E33-4B3D-8C0F-7CCDF00EF908}"/>
    <cellStyle name="Normal 9 3 4 4 4" xfId="10369" xr:uid="{6187ADD1-D339-4138-BF94-DB50A62B4BBF}"/>
    <cellStyle name="Normal 9 3 4 5" xfId="2244" xr:uid="{00000000-0005-0000-0000-00002F200000}"/>
    <cellStyle name="Normal 9 3 4 5 2" xfId="4473" xr:uid="{00000000-0005-0000-0000-000030200000}"/>
    <cellStyle name="Normal 9 3 4 5 2 2" xfId="8695" xr:uid="{00000000-0005-0000-0000-000031200000}"/>
    <cellStyle name="Normal 9 3 4 5 2 2 2" xfId="17142" xr:uid="{B3941F1C-061F-40F9-91B8-8F467D7B0FAC}"/>
    <cellStyle name="Normal 9 3 4 5 2 3" xfId="12927" xr:uid="{FD86BC46-9E19-4386-B9E3-9C97B6A6B441}"/>
    <cellStyle name="Normal 9 3 4 5 3" xfId="6550" xr:uid="{00000000-0005-0000-0000-000032200000}"/>
    <cellStyle name="Normal 9 3 4 5 3 2" xfId="14997" xr:uid="{9D803CD2-1925-4B7F-880B-FB8B09F6ACC6}"/>
    <cellStyle name="Normal 9 3 4 5 4" xfId="10782" xr:uid="{9533A1E9-632A-43C5-BAEC-23D3FF3482F5}"/>
    <cellStyle name="Normal 9 3 4 6" xfId="2680" xr:uid="{00000000-0005-0000-0000-000033200000}"/>
    <cellStyle name="Normal 9 3 4 6 2" xfId="6963" xr:uid="{00000000-0005-0000-0000-000034200000}"/>
    <cellStyle name="Normal 9 3 4 6 2 2" xfId="15410" xr:uid="{39FCF7DB-DE47-4C4C-B903-386D40C574EC}"/>
    <cellStyle name="Normal 9 3 4 6 3" xfId="11195" xr:uid="{8EAF8040-0223-4546-A78B-F2E6CC78AAFF}"/>
    <cellStyle name="Normal 9 3 4 7" xfId="4898" xr:uid="{00000000-0005-0000-0000-000035200000}"/>
    <cellStyle name="Normal 9 3 4 7 2" xfId="13345" xr:uid="{2EAA3441-B697-4AC2-9E39-12060D6779BE}"/>
    <cellStyle name="Normal 9 3 4 8" xfId="9130" xr:uid="{8C111459-E9C3-4AC0-86AB-BF43907E8D9D}"/>
    <cellStyle name="Normal 9 3 5" xfId="994" xr:uid="{00000000-0005-0000-0000-000036200000}"/>
    <cellStyle name="Normal 9 3 5 2" xfId="3227" xr:uid="{00000000-0005-0000-0000-000037200000}"/>
    <cellStyle name="Normal 9 3 5 2 2" xfId="7449" xr:uid="{00000000-0005-0000-0000-000038200000}"/>
    <cellStyle name="Normal 9 3 5 2 2 2" xfId="15896" xr:uid="{78102289-3F46-4980-A012-3205DED10E9C}"/>
    <cellStyle name="Normal 9 3 5 2 3" xfId="11681" xr:uid="{61BDD67F-287A-419C-BD80-BAFD4CCCEECD}"/>
    <cellStyle name="Normal 9 3 5 3" xfId="5304" xr:uid="{00000000-0005-0000-0000-000039200000}"/>
    <cellStyle name="Normal 9 3 5 3 2" xfId="13751" xr:uid="{1E3DE41C-8436-4BDD-869B-371B38ACE03E}"/>
    <cellStyle name="Normal 9 3 5 4" xfId="9536" xr:uid="{02613590-2CA8-4306-8A56-E962BFD33F5A}"/>
    <cellStyle name="Normal 9 3 6" xfId="1410" xr:uid="{00000000-0005-0000-0000-00003A200000}"/>
    <cellStyle name="Normal 9 3 6 2" xfId="3640" xr:uid="{00000000-0005-0000-0000-00003B200000}"/>
    <cellStyle name="Normal 9 3 6 2 2" xfId="7862" xr:uid="{00000000-0005-0000-0000-00003C200000}"/>
    <cellStyle name="Normal 9 3 6 2 2 2" xfId="16309" xr:uid="{BE745141-117D-4230-B216-017108C0FA06}"/>
    <cellStyle name="Normal 9 3 6 2 3" xfId="12094" xr:uid="{B9D3D2C7-282F-440A-ADD4-13DA0527A0AE}"/>
    <cellStyle name="Normal 9 3 6 3" xfId="5717" xr:uid="{00000000-0005-0000-0000-00003D200000}"/>
    <cellStyle name="Normal 9 3 6 3 2" xfId="14164" xr:uid="{97C0B785-8805-4DBB-A5C3-780645924699}"/>
    <cellStyle name="Normal 9 3 6 4" xfId="9949" xr:uid="{0902F76D-B815-41DD-BDA0-9AFBCF5FCDC2}"/>
    <cellStyle name="Normal 9 3 7" xfId="1823" xr:uid="{00000000-0005-0000-0000-00003E200000}"/>
    <cellStyle name="Normal 9 3 7 2" xfId="4053" xr:uid="{00000000-0005-0000-0000-00003F200000}"/>
    <cellStyle name="Normal 9 3 7 2 2" xfId="8275" xr:uid="{00000000-0005-0000-0000-000040200000}"/>
    <cellStyle name="Normal 9 3 7 2 2 2" xfId="16722" xr:uid="{0B8E104D-3D20-4AA1-AB60-0BE39F0C4F95}"/>
    <cellStyle name="Normal 9 3 7 2 3" xfId="12507" xr:uid="{EF713B78-DD1F-436E-A8AE-C925554C2E5A}"/>
    <cellStyle name="Normal 9 3 7 3" xfId="6130" xr:uid="{00000000-0005-0000-0000-000041200000}"/>
    <cellStyle name="Normal 9 3 7 3 2" xfId="14577" xr:uid="{6982B242-5ABB-4273-BAB9-4E61811CE13B}"/>
    <cellStyle name="Normal 9 3 7 4" xfId="10362" xr:uid="{02E1F9DC-21E8-4401-9634-8AF37F259725}"/>
    <cellStyle name="Normal 9 3 8" xfId="2237" xr:uid="{00000000-0005-0000-0000-000042200000}"/>
    <cellStyle name="Normal 9 3 8 2" xfId="4466" xr:uid="{00000000-0005-0000-0000-000043200000}"/>
    <cellStyle name="Normal 9 3 8 2 2" xfId="8688" xr:uid="{00000000-0005-0000-0000-000044200000}"/>
    <cellStyle name="Normal 9 3 8 2 2 2" xfId="17135" xr:uid="{59C90D5B-3DA3-4D26-BCBE-EC20C38A923E}"/>
    <cellStyle name="Normal 9 3 8 2 3" xfId="12920" xr:uid="{2D973E91-E710-44D0-8E38-D41996000FED}"/>
    <cellStyle name="Normal 9 3 8 3" xfId="6543" xr:uid="{00000000-0005-0000-0000-000045200000}"/>
    <cellStyle name="Normal 9 3 8 3 2" xfId="14990" xr:uid="{E4544C2B-59AA-485E-91C6-5289ABDBCD99}"/>
    <cellStyle name="Normal 9 3 8 4" xfId="10775" xr:uid="{A5FA9E23-A400-4CFC-A1CA-83C57BA17741}"/>
    <cellStyle name="Normal 9 3 9" xfId="2673" xr:uid="{00000000-0005-0000-0000-000046200000}"/>
    <cellStyle name="Normal 9 3 9 2" xfId="6956" xr:uid="{00000000-0005-0000-0000-000047200000}"/>
    <cellStyle name="Normal 9 3 9 2 2" xfId="15403" xr:uid="{40264DF0-B848-409C-A645-F46DD6137196}"/>
    <cellStyle name="Normal 9 3 9 3" xfId="11188" xr:uid="{FA7E7736-AC31-4187-BB6A-4D867DFAE6A2}"/>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5" xr:uid="{2AB11807-A507-4F1D-A978-3657B41A6548}"/>
    <cellStyle name="Normal 9 5 2 2 2 3" xfId="11690" xr:uid="{5D19A7C5-2D98-45F7-A28C-89149ECC3C0F}"/>
    <cellStyle name="Normal 9 5 2 2 3" xfId="5313" xr:uid="{00000000-0005-0000-0000-00004F200000}"/>
    <cellStyle name="Normal 9 5 2 2 3 2" xfId="13760" xr:uid="{65E8770C-751C-416F-AF9D-6AAEF60FBAD5}"/>
    <cellStyle name="Normal 9 5 2 2 4" xfId="9545" xr:uid="{A740E04D-927B-4B85-AE03-DDEE1413ABFA}"/>
    <cellStyle name="Normal 9 5 2 3" xfId="1419" xr:uid="{00000000-0005-0000-0000-000050200000}"/>
    <cellStyle name="Normal 9 5 2 3 2" xfId="3649" xr:uid="{00000000-0005-0000-0000-000051200000}"/>
    <cellStyle name="Normal 9 5 2 3 2 2" xfId="7871" xr:uid="{00000000-0005-0000-0000-000052200000}"/>
    <cellStyle name="Normal 9 5 2 3 2 2 2" xfId="16318" xr:uid="{3673112E-6C14-44EE-937B-43E98F4A946B}"/>
    <cellStyle name="Normal 9 5 2 3 2 3" xfId="12103" xr:uid="{84B6A330-71A6-42EB-96A1-A6979AD4A69F}"/>
    <cellStyle name="Normal 9 5 2 3 3" xfId="5726" xr:uid="{00000000-0005-0000-0000-000053200000}"/>
    <cellStyle name="Normal 9 5 2 3 3 2" xfId="14173" xr:uid="{5817FBA3-2CAB-426B-B95D-6F15B0B3F10C}"/>
    <cellStyle name="Normal 9 5 2 3 4" xfId="9958" xr:uid="{6ACDACAF-24DF-47D1-861F-149AAC7DDFDB}"/>
    <cellStyle name="Normal 9 5 2 4" xfId="1832" xr:uid="{00000000-0005-0000-0000-000054200000}"/>
    <cellStyle name="Normal 9 5 2 4 2" xfId="4062" xr:uid="{00000000-0005-0000-0000-000055200000}"/>
    <cellStyle name="Normal 9 5 2 4 2 2" xfId="8284" xr:uid="{00000000-0005-0000-0000-000056200000}"/>
    <cellStyle name="Normal 9 5 2 4 2 2 2" xfId="16731" xr:uid="{C7721814-8903-422D-95E5-46D10F34138F}"/>
    <cellStyle name="Normal 9 5 2 4 2 3" xfId="12516" xr:uid="{267FDAD9-1E0B-4D07-B6D6-A69F07DC582A}"/>
    <cellStyle name="Normal 9 5 2 4 3" xfId="6139" xr:uid="{00000000-0005-0000-0000-000057200000}"/>
    <cellStyle name="Normal 9 5 2 4 3 2" xfId="14586" xr:uid="{215B5706-1983-4470-9B84-8D830BCC8F10}"/>
    <cellStyle name="Normal 9 5 2 4 4" xfId="10371" xr:uid="{E7B35D83-FFD7-42E8-840E-369477627781}"/>
    <cellStyle name="Normal 9 5 2 5" xfId="2246" xr:uid="{00000000-0005-0000-0000-000058200000}"/>
    <cellStyle name="Normal 9 5 2 5 2" xfId="4475" xr:uid="{00000000-0005-0000-0000-000059200000}"/>
    <cellStyle name="Normal 9 5 2 5 2 2" xfId="8697" xr:uid="{00000000-0005-0000-0000-00005A200000}"/>
    <cellStyle name="Normal 9 5 2 5 2 2 2" xfId="17144" xr:uid="{B2C3D66F-7F8C-4E46-8AC5-D4D5F97D3303}"/>
    <cellStyle name="Normal 9 5 2 5 2 3" xfId="12929" xr:uid="{76676A7F-97BC-4385-B3A4-C752BABC5B8C}"/>
    <cellStyle name="Normal 9 5 2 5 3" xfId="6552" xr:uid="{00000000-0005-0000-0000-00005B200000}"/>
    <cellStyle name="Normal 9 5 2 5 3 2" xfId="14999" xr:uid="{FFC4B239-B3D4-4E33-8752-4CC7EF181964}"/>
    <cellStyle name="Normal 9 5 2 5 4" xfId="10784" xr:uid="{48983866-CA42-46A0-ADD8-F366ADD8954F}"/>
    <cellStyle name="Normal 9 5 2 6" xfId="2682" xr:uid="{00000000-0005-0000-0000-00005C200000}"/>
    <cellStyle name="Normal 9 5 2 6 2" xfId="6965" xr:uid="{00000000-0005-0000-0000-00005D200000}"/>
    <cellStyle name="Normal 9 5 2 6 2 2" xfId="15412" xr:uid="{3823D2E9-966E-4081-B845-8B6D4A68ABD0}"/>
    <cellStyle name="Normal 9 5 2 6 3" xfId="11197" xr:uid="{1313F884-A506-45DE-8BC4-DBB0DD8F8BC5}"/>
    <cellStyle name="Normal 9 5 2 7" xfId="4900" xr:uid="{00000000-0005-0000-0000-00005E200000}"/>
    <cellStyle name="Normal 9 5 2 7 2" xfId="13347" xr:uid="{EE6FCD07-7F63-4FD1-A8F6-0046E5F7B169}"/>
    <cellStyle name="Normal 9 5 2 8" xfId="9132" xr:uid="{B767D66F-4039-464D-AB5F-D2CE764C1751}"/>
    <cellStyle name="Normal 9 5 3" xfId="1003" xr:uid="{00000000-0005-0000-0000-00005F200000}"/>
    <cellStyle name="Normal 9 5 3 2" xfId="3235" xr:uid="{00000000-0005-0000-0000-000060200000}"/>
    <cellStyle name="Normal 9 5 3 2 2" xfId="7457" xr:uid="{00000000-0005-0000-0000-000061200000}"/>
    <cellStyle name="Normal 9 5 3 2 2 2" xfId="15904" xr:uid="{B0EEC296-85E2-4A24-851A-64A7E35EAB55}"/>
    <cellStyle name="Normal 9 5 3 2 3" xfId="11689" xr:uid="{0E999B85-F702-4245-944C-21576723530A}"/>
    <cellStyle name="Normal 9 5 3 3" xfId="5312" xr:uid="{00000000-0005-0000-0000-000062200000}"/>
    <cellStyle name="Normal 9 5 3 3 2" xfId="13759" xr:uid="{0178FE3D-0180-4A35-B7E1-505BA3B7E1EA}"/>
    <cellStyle name="Normal 9 5 3 4" xfId="9544" xr:uid="{CBB05F1B-5444-4792-A5FF-B6725DF95D17}"/>
    <cellStyle name="Normal 9 5 4" xfId="1418" xr:uid="{00000000-0005-0000-0000-000063200000}"/>
    <cellStyle name="Normal 9 5 4 2" xfId="3648" xr:uid="{00000000-0005-0000-0000-000064200000}"/>
    <cellStyle name="Normal 9 5 4 2 2" xfId="7870" xr:uid="{00000000-0005-0000-0000-000065200000}"/>
    <cellStyle name="Normal 9 5 4 2 2 2" xfId="16317" xr:uid="{65A9DD95-3231-499D-9611-4E1465BB6B6D}"/>
    <cellStyle name="Normal 9 5 4 2 3" xfId="12102" xr:uid="{E49B745F-6BE1-424C-807C-58552780DDF9}"/>
    <cellStyle name="Normal 9 5 4 3" xfId="5725" xr:uid="{00000000-0005-0000-0000-000066200000}"/>
    <cellStyle name="Normal 9 5 4 3 2" xfId="14172" xr:uid="{0155A491-E4A9-4E6F-9F2E-8F4510E68447}"/>
    <cellStyle name="Normal 9 5 4 4" xfId="9957" xr:uid="{FA5080B5-BC5A-4027-96BF-C21E2E7D8B64}"/>
    <cellStyle name="Normal 9 5 5" xfId="1831" xr:uid="{00000000-0005-0000-0000-000067200000}"/>
    <cellStyle name="Normal 9 5 5 2" xfId="4061" xr:uid="{00000000-0005-0000-0000-000068200000}"/>
    <cellStyle name="Normal 9 5 5 2 2" xfId="8283" xr:uid="{00000000-0005-0000-0000-000069200000}"/>
    <cellStyle name="Normal 9 5 5 2 2 2" xfId="16730" xr:uid="{08FC6F54-3670-4208-A080-0955A2E01B96}"/>
    <cellStyle name="Normal 9 5 5 2 3" xfId="12515" xr:uid="{53EA6EB8-2C2D-4FB8-BD81-E08CECCDB6B7}"/>
    <cellStyle name="Normal 9 5 5 3" xfId="6138" xr:uid="{00000000-0005-0000-0000-00006A200000}"/>
    <cellStyle name="Normal 9 5 5 3 2" xfId="14585" xr:uid="{E2977441-10B3-48EC-B4E0-32F6A53BFF1E}"/>
    <cellStyle name="Normal 9 5 5 4" xfId="10370" xr:uid="{80760806-9403-4642-87CC-D2BE753201E3}"/>
    <cellStyle name="Normal 9 5 6" xfId="2245" xr:uid="{00000000-0005-0000-0000-00006B200000}"/>
    <cellStyle name="Normal 9 5 6 2" xfId="4474" xr:uid="{00000000-0005-0000-0000-00006C200000}"/>
    <cellStyle name="Normal 9 5 6 2 2" xfId="8696" xr:uid="{00000000-0005-0000-0000-00006D200000}"/>
    <cellStyle name="Normal 9 5 6 2 2 2" xfId="17143" xr:uid="{7F98BD21-2966-4080-9ACF-6D19C5AAC0D8}"/>
    <cellStyle name="Normal 9 5 6 2 3" xfId="12928" xr:uid="{64249F3C-0ADE-43B1-9E53-548951D3C261}"/>
    <cellStyle name="Normal 9 5 6 3" xfId="6551" xr:uid="{00000000-0005-0000-0000-00006E200000}"/>
    <cellStyle name="Normal 9 5 6 3 2" xfId="14998" xr:uid="{FE972ACA-C72D-469D-8DAE-F06BC70BDE06}"/>
    <cellStyle name="Normal 9 5 6 4" xfId="10783" xr:uid="{A751990E-BE31-4134-ACE8-3FC4AB65E39C}"/>
    <cellStyle name="Normal 9 5 7" xfId="2681" xr:uid="{00000000-0005-0000-0000-00006F200000}"/>
    <cellStyle name="Normal 9 5 7 2" xfId="6964" xr:uid="{00000000-0005-0000-0000-000070200000}"/>
    <cellStyle name="Normal 9 5 7 2 2" xfId="15411" xr:uid="{0AAD33D7-AE48-4D47-ABB7-BC8735F1F0B8}"/>
    <cellStyle name="Normal 9 5 7 3" xfId="11196" xr:uid="{7052723F-0455-4043-9105-7C07324124DC}"/>
    <cellStyle name="Normal 9 5 8" xfId="4899" xr:uid="{00000000-0005-0000-0000-000071200000}"/>
    <cellStyle name="Normal 9 5 8 2" xfId="13346" xr:uid="{80A941E7-6199-4F9A-B874-5180240419CF}"/>
    <cellStyle name="Normal 9 5 9" xfId="9131" xr:uid="{6D97CE7F-AB2F-401B-99BD-7B9D7EF8CE19}"/>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6" xr:uid="{4EABDC62-B3A8-4786-A08D-A017297F61C5}"/>
    <cellStyle name="Normal 9 6 2 2 3" xfId="11691" xr:uid="{CBFE7547-F951-4983-ACAC-722173458DAD}"/>
    <cellStyle name="Normal 9 6 2 3" xfId="5314" xr:uid="{00000000-0005-0000-0000-000076200000}"/>
    <cellStyle name="Normal 9 6 2 3 2" xfId="13761" xr:uid="{442A4046-04EC-4DA3-9961-FB22E8B93508}"/>
    <cellStyle name="Normal 9 6 2 4" xfId="9546" xr:uid="{4F9E3DCE-36FD-40B0-9DCB-8C6594D4BA97}"/>
    <cellStyle name="Normal 9 6 3" xfId="1420" xr:uid="{00000000-0005-0000-0000-000077200000}"/>
    <cellStyle name="Normal 9 6 3 2" xfId="3650" xr:uid="{00000000-0005-0000-0000-000078200000}"/>
    <cellStyle name="Normal 9 6 3 2 2" xfId="7872" xr:uid="{00000000-0005-0000-0000-000079200000}"/>
    <cellStyle name="Normal 9 6 3 2 2 2" xfId="16319" xr:uid="{CA74E7F4-9F19-4314-93BE-1BAC9B15F959}"/>
    <cellStyle name="Normal 9 6 3 2 3" xfId="12104" xr:uid="{E495E72E-235F-43D6-9504-7D5EBCBEBC01}"/>
    <cellStyle name="Normal 9 6 3 3" xfId="5727" xr:uid="{00000000-0005-0000-0000-00007A200000}"/>
    <cellStyle name="Normal 9 6 3 3 2" xfId="14174" xr:uid="{82615BC5-4EBE-452B-AF8C-C728C6004C92}"/>
    <cellStyle name="Normal 9 6 3 4" xfId="9959" xr:uid="{B451CAB9-136D-424E-BBD0-9DC10987BA16}"/>
    <cellStyle name="Normal 9 6 4" xfId="1833" xr:uid="{00000000-0005-0000-0000-00007B200000}"/>
    <cellStyle name="Normal 9 6 4 2" xfId="4063" xr:uid="{00000000-0005-0000-0000-00007C200000}"/>
    <cellStyle name="Normal 9 6 4 2 2" xfId="8285" xr:uid="{00000000-0005-0000-0000-00007D200000}"/>
    <cellStyle name="Normal 9 6 4 2 2 2" xfId="16732" xr:uid="{4AF04E81-7C93-41F9-8BCB-9490F1FBCC35}"/>
    <cellStyle name="Normal 9 6 4 2 3" xfId="12517" xr:uid="{6977472E-B768-43F1-BD8D-1F680BA51522}"/>
    <cellStyle name="Normal 9 6 4 3" xfId="6140" xr:uid="{00000000-0005-0000-0000-00007E200000}"/>
    <cellStyle name="Normal 9 6 4 3 2" xfId="14587" xr:uid="{952B5FF0-2AEE-4ABD-AFF7-0F53FF8ED9EE}"/>
    <cellStyle name="Normal 9 6 4 4" xfId="10372" xr:uid="{20238B1E-53C1-40CB-BA45-FC3CEA2A5648}"/>
    <cellStyle name="Normal 9 6 5" xfId="2247" xr:uid="{00000000-0005-0000-0000-00007F200000}"/>
    <cellStyle name="Normal 9 6 5 2" xfId="4476" xr:uid="{00000000-0005-0000-0000-000080200000}"/>
    <cellStyle name="Normal 9 6 5 2 2" xfId="8698" xr:uid="{00000000-0005-0000-0000-000081200000}"/>
    <cellStyle name="Normal 9 6 5 2 2 2" xfId="17145" xr:uid="{2132C372-DD93-41EB-BE3E-97A7835F9A1C}"/>
    <cellStyle name="Normal 9 6 5 2 3" xfId="12930" xr:uid="{51DD13AB-5449-4E04-8B79-7EC8F07ADC6C}"/>
    <cellStyle name="Normal 9 6 5 3" xfId="6553" xr:uid="{00000000-0005-0000-0000-000082200000}"/>
    <cellStyle name="Normal 9 6 5 3 2" xfId="15000" xr:uid="{10E2B293-DCFB-40F5-B661-D915E1BB9AFC}"/>
    <cellStyle name="Normal 9 6 5 4" xfId="10785" xr:uid="{6BB84203-2A8E-4174-A427-DB26D0128ABD}"/>
    <cellStyle name="Normal 9 6 6" xfId="2683" xr:uid="{00000000-0005-0000-0000-000083200000}"/>
    <cellStyle name="Normal 9 6 6 2" xfId="6966" xr:uid="{00000000-0005-0000-0000-000084200000}"/>
    <cellStyle name="Normal 9 6 6 2 2" xfId="15413" xr:uid="{9BA020E9-5338-4BF1-BC3E-6A02C8886775}"/>
    <cellStyle name="Normal 9 6 6 3" xfId="11198" xr:uid="{42424F4A-A1A6-48E0-B213-7DEF30E3FECF}"/>
    <cellStyle name="Normal 9 6 7" xfId="4901" xr:uid="{00000000-0005-0000-0000-000085200000}"/>
    <cellStyle name="Normal 9 6 7 2" xfId="13348" xr:uid="{A14F8B4B-0230-4135-81BD-6AB6B7DDB41A}"/>
    <cellStyle name="Normal 9 6 8" xfId="9133" xr:uid="{24B69DED-EF20-445E-8511-E83761B4F0CE}"/>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4" xr:uid="{E2101658-7D15-4907-9854-2A991988683E}"/>
    <cellStyle name="Note 2 2 10 3" xfId="11279" xr:uid="{4DE28CDE-59C2-40B8-91E8-258B4F07A50E}"/>
    <cellStyle name="Note 2 2 11" xfId="4902" xr:uid="{00000000-0005-0000-0000-000094200000}"/>
    <cellStyle name="Note 2 2 11 2" xfId="13349" xr:uid="{73065688-996E-4BD5-B3CD-9ED163D9DFF0}"/>
    <cellStyle name="Note 2 2 12" xfId="9134" xr:uid="{15993236-4D09-4651-8648-F43647B9D7EC}"/>
    <cellStyle name="Note 2 2 2" xfId="546" xr:uid="{00000000-0005-0000-0000-000095200000}"/>
    <cellStyle name="Note 2 2 2 10" xfId="4903" xr:uid="{00000000-0005-0000-0000-000096200000}"/>
    <cellStyle name="Note 2 2 2 10 2" xfId="13350" xr:uid="{A1DE57FD-A94A-4210-8214-13C0A80DD36C}"/>
    <cellStyle name="Note 2 2 2 11" xfId="9135" xr:uid="{276C0604-3149-4015-9482-406392CF2768}"/>
    <cellStyle name="Note 2 2 2 2" xfId="547" xr:uid="{00000000-0005-0000-0000-000097200000}"/>
    <cellStyle name="Note 2 2 2 2 10" xfId="9136" xr:uid="{7C673E18-ED67-4081-80C2-BB1C78E2AE0D}"/>
    <cellStyle name="Note 2 2 2 2 2" xfId="1008" xr:uid="{00000000-0005-0000-0000-000098200000}"/>
    <cellStyle name="Note 2 2 2 2 2 2" xfId="3240" xr:uid="{00000000-0005-0000-0000-000099200000}"/>
    <cellStyle name="Note 2 2 2 2 2 2 2" xfId="7462" xr:uid="{00000000-0005-0000-0000-00009A200000}"/>
    <cellStyle name="Note 2 2 2 2 2 2 2 2" xfId="15909" xr:uid="{FAA1F6B7-7844-445F-BD75-8AC11C1665F5}"/>
    <cellStyle name="Note 2 2 2 2 2 2 3" xfId="11694" xr:uid="{0098AECE-7C87-4829-A896-1C8F10390689}"/>
    <cellStyle name="Note 2 2 2 2 2 3" xfId="5317" xr:uid="{00000000-0005-0000-0000-00009B200000}"/>
    <cellStyle name="Note 2 2 2 2 2 3 2" xfId="13764" xr:uid="{3E6FD7AC-8513-4C84-9A16-A4A96820A069}"/>
    <cellStyle name="Note 2 2 2 2 2 4" xfId="9549" xr:uid="{9836566C-7485-4259-9B2A-02BE28B7D52D}"/>
    <cellStyle name="Note 2 2 2 2 3" xfId="1423" xr:uid="{00000000-0005-0000-0000-00009C200000}"/>
    <cellStyle name="Note 2 2 2 2 3 2" xfId="3653" xr:uid="{00000000-0005-0000-0000-00009D200000}"/>
    <cellStyle name="Note 2 2 2 2 3 2 2" xfId="7875" xr:uid="{00000000-0005-0000-0000-00009E200000}"/>
    <cellStyle name="Note 2 2 2 2 3 2 2 2" xfId="16322" xr:uid="{065B7A3C-CE79-444C-9037-2EC074B488BC}"/>
    <cellStyle name="Note 2 2 2 2 3 2 3" xfId="12107" xr:uid="{291F4630-7E09-41C8-9A68-FE73BAB3AB12}"/>
    <cellStyle name="Note 2 2 2 2 3 3" xfId="5730" xr:uid="{00000000-0005-0000-0000-00009F200000}"/>
    <cellStyle name="Note 2 2 2 2 3 3 2" xfId="14177" xr:uid="{DD14E50C-C673-4A66-8EB9-294A5A8595C9}"/>
    <cellStyle name="Note 2 2 2 2 3 4" xfId="9962" xr:uid="{9A46DF8A-039A-468D-BCDD-F781970D216C}"/>
    <cellStyle name="Note 2 2 2 2 4" xfId="1837" xr:uid="{00000000-0005-0000-0000-0000A0200000}"/>
    <cellStyle name="Note 2 2 2 2 4 2" xfId="4066" xr:uid="{00000000-0005-0000-0000-0000A1200000}"/>
    <cellStyle name="Note 2 2 2 2 4 2 2" xfId="8288" xr:uid="{00000000-0005-0000-0000-0000A2200000}"/>
    <cellStyle name="Note 2 2 2 2 4 2 2 2" xfId="16735" xr:uid="{5BC4006D-86F0-48E3-B342-D3CB6CC19A7E}"/>
    <cellStyle name="Note 2 2 2 2 4 2 3" xfId="12520" xr:uid="{24F2B9FE-0C09-4F70-9ABA-EE6F27BFFB5B}"/>
    <cellStyle name="Note 2 2 2 2 4 3" xfId="6143" xr:uid="{00000000-0005-0000-0000-0000A3200000}"/>
    <cellStyle name="Note 2 2 2 2 4 3 2" xfId="14590" xr:uid="{139633E1-6CA0-46C1-AF2D-13E7BBDED922}"/>
    <cellStyle name="Note 2 2 2 2 4 4" xfId="10375" xr:uid="{6D33EA29-333F-421D-B137-4EE073E2D12E}"/>
    <cellStyle name="Note 2 2 2 2 5" xfId="2250" xr:uid="{00000000-0005-0000-0000-0000A4200000}"/>
    <cellStyle name="Note 2 2 2 2 5 2" xfId="4479" xr:uid="{00000000-0005-0000-0000-0000A5200000}"/>
    <cellStyle name="Note 2 2 2 2 5 2 2" xfId="8701" xr:uid="{00000000-0005-0000-0000-0000A6200000}"/>
    <cellStyle name="Note 2 2 2 2 5 2 2 2" xfId="17148" xr:uid="{00773B02-CCB2-44C6-ABB9-53E8DBC467AF}"/>
    <cellStyle name="Note 2 2 2 2 5 2 3" xfId="12933" xr:uid="{DAD24E31-EEAC-4433-AE74-3A197280EA24}"/>
    <cellStyle name="Note 2 2 2 2 5 3" xfId="6556" xr:uid="{00000000-0005-0000-0000-0000A7200000}"/>
    <cellStyle name="Note 2 2 2 2 5 3 2" xfId="15003" xr:uid="{1291DAC3-2D2E-4B75-899B-4D3869C61296}"/>
    <cellStyle name="Note 2 2 2 2 5 4" xfId="10788" xr:uid="{0E700636-077B-4A4B-9586-DBF4526FF6BC}"/>
    <cellStyle name="Note 2 2 2 2 6" xfId="2686" xr:uid="{00000000-0005-0000-0000-0000A8200000}"/>
    <cellStyle name="Note 2 2 2 2 6 2" xfId="6969" xr:uid="{00000000-0005-0000-0000-0000A9200000}"/>
    <cellStyle name="Note 2 2 2 2 6 2 2" xfId="15416" xr:uid="{BA1C24F6-D082-4CE0-8818-4F27E1BE33C8}"/>
    <cellStyle name="Note 2 2 2 2 6 3" xfId="11201" xr:uid="{07BCE797-8ED9-418E-A750-7DDBFA3C5655}"/>
    <cellStyle name="Note 2 2 2 2 7" xfId="2745" xr:uid="{00000000-0005-0000-0000-0000AA200000}"/>
    <cellStyle name="Note 2 2 2 2 8" xfId="2826" xr:uid="{00000000-0005-0000-0000-0000AB200000}"/>
    <cellStyle name="Note 2 2 2 2 8 2" xfId="7049" xr:uid="{00000000-0005-0000-0000-0000AC200000}"/>
    <cellStyle name="Note 2 2 2 2 8 2 2" xfId="15496" xr:uid="{59CBEFCB-5F64-4E92-B016-8FE24B914FCE}"/>
    <cellStyle name="Note 2 2 2 2 8 3" xfId="11281" xr:uid="{BA7EFC72-7E01-4BAE-B137-FD3EA68C8FC4}"/>
    <cellStyle name="Note 2 2 2 2 9" xfId="4904" xr:uid="{00000000-0005-0000-0000-0000AD200000}"/>
    <cellStyle name="Note 2 2 2 2 9 2" xfId="13351" xr:uid="{6F0AF618-D0AE-4D89-B3B0-5CF4E06D07E8}"/>
    <cellStyle name="Note 2 2 2 3" xfId="1007" xr:uid="{00000000-0005-0000-0000-0000AE200000}"/>
    <cellStyle name="Note 2 2 2 3 2" xfId="3239" xr:uid="{00000000-0005-0000-0000-0000AF200000}"/>
    <cellStyle name="Note 2 2 2 3 2 2" xfId="7461" xr:uid="{00000000-0005-0000-0000-0000B0200000}"/>
    <cellStyle name="Note 2 2 2 3 2 2 2" xfId="15908" xr:uid="{51808C97-C097-4DA7-A1D5-2A2E105DA3BB}"/>
    <cellStyle name="Note 2 2 2 3 2 3" xfId="11693" xr:uid="{D7F00F23-791A-40FB-AE66-6C24FFDA65F9}"/>
    <cellStyle name="Note 2 2 2 3 3" xfId="5316" xr:uid="{00000000-0005-0000-0000-0000B1200000}"/>
    <cellStyle name="Note 2 2 2 3 3 2" xfId="13763" xr:uid="{233E997D-0F7A-4A9D-A6AC-4C928BD20D57}"/>
    <cellStyle name="Note 2 2 2 3 4" xfId="9548" xr:uid="{02E26553-697E-437C-9F0C-A6BE4559C0A6}"/>
    <cellStyle name="Note 2 2 2 4" xfId="1422" xr:uid="{00000000-0005-0000-0000-0000B2200000}"/>
    <cellStyle name="Note 2 2 2 4 2" xfId="3652" xr:uid="{00000000-0005-0000-0000-0000B3200000}"/>
    <cellStyle name="Note 2 2 2 4 2 2" xfId="7874" xr:uid="{00000000-0005-0000-0000-0000B4200000}"/>
    <cellStyle name="Note 2 2 2 4 2 2 2" xfId="16321" xr:uid="{73BA6DC1-BD77-447F-BE0A-AA0B4A634BC9}"/>
    <cellStyle name="Note 2 2 2 4 2 3" xfId="12106" xr:uid="{7F10AC65-46C0-400B-990A-1A78C84D819F}"/>
    <cellStyle name="Note 2 2 2 4 3" xfId="5729" xr:uid="{00000000-0005-0000-0000-0000B5200000}"/>
    <cellStyle name="Note 2 2 2 4 3 2" xfId="14176" xr:uid="{EF0FDAD3-6FD8-425E-A04B-4A34D634C141}"/>
    <cellStyle name="Note 2 2 2 4 4" xfId="9961" xr:uid="{4801DA2E-DDC5-4C20-9421-C0E6AF76AB73}"/>
    <cellStyle name="Note 2 2 2 5" xfId="1836" xr:uid="{00000000-0005-0000-0000-0000B6200000}"/>
    <cellStyle name="Note 2 2 2 5 2" xfId="4065" xr:uid="{00000000-0005-0000-0000-0000B7200000}"/>
    <cellStyle name="Note 2 2 2 5 2 2" xfId="8287" xr:uid="{00000000-0005-0000-0000-0000B8200000}"/>
    <cellStyle name="Note 2 2 2 5 2 2 2" xfId="16734" xr:uid="{ACBCCE89-43B6-45E0-AB9A-61D3F31C41FC}"/>
    <cellStyle name="Note 2 2 2 5 2 3" xfId="12519" xr:uid="{1F8718B7-52C5-4452-9E1D-2FCD6AF8597C}"/>
    <cellStyle name="Note 2 2 2 5 3" xfId="6142" xr:uid="{00000000-0005-0000-0000-0000B9200000}"/>
    <cellStyle name="Note 2 2 2 5 3 2" xfId="14589" xr:uid="{4B33BD70-8F42-430E-902C-915B6855BF75}"/>
    <cellStyle name="Note 2 2 2 5 4" xfId="10374" xr:uid="{F57FE6D3-503D-4FEC-8027-007A58718B6E}"/>
    <cellStyle name="Note 2 2 2 6" xfId="2249" xr:uid="{00000000-0005-0000-0000-0000BA200000}"/>
    <cellStyle name="Note 2 2 2 6 2" xfId="4478" xr:uid="{00000000-0005-0000-0000-0000BB200000}"/>
    <cellStyle name="Note 2 2 2 6 2 2" xfId="8700" xr:uid="{00000000-0005-0000-0000-0000BC200000}"/>
    <cellStyle name="Note 2 2 2 6 2 2 2" xfId="17147" xr:uid="{BACB2AFF-D8CA-419E-AC42-7E4749C35CF3}"/>
    <cellStyle name="Note 2 2 2 6 2 3" xfId="12932" xr:uid="{0F3F536A-6B60-48E7-962D-5E6D8C914F6E}"/>
    <cellStyle name="Note 2 2 2 6 3" xfId="6555" xr:uid="{00000000-0005-0000-0000-0000BD200000}"/>
    <cellStyle name="Note 2 2 2 6 3 2" xfId="15002" xr:uid="{8FD637FB-4786-47D0-8E1D-FDDB11473F36}"/>
    <cellStyle name="Note 2 2 2 6 4" xfId="10787" xr:uid="{058C5B98-B3F6-46BD-BA11-A27FD2B04AFB}"/>
    <cellStyle name="Note 2 2 2 7" xfId="2685" xr:uid="{00000000-0005-0000-0000-0000BE200000}"/>
    <cellStyle name="Note 2 2 2 7 2" xfId="6968" xr:uid="{00000000-0005-0000-0000-0000BF200000}"/>
    <cellStyle name="Note 2 2 2 7 2 2" xfId="15415" xr:uid="{4F76A78E-8B87-4B89-AE62-9FB69DAE3338}"/>
    <cellStyle name="Note 2 2 2 7 3" xfId="11200" xr:uid="{EEE02178-9A4D-4259-AAEA-D72D02900EED}"/>
    <cellStyle name="Note 2 2 2 8" xfId="2744" xr:uid="{00000000-0005-0000-0000-0000C0200000}"/>
    <cellStyle name="Note 2 2 2 9" xfId="2825" xr:uid="{00000000-0005-0000-0000-0000C1200000}"/>
    <cellStyle name="Note 2 2 2 9 2" xfId="7048" xr:uid="{00000000-0005-0000-0000-0000C2200000}"/>
    <cellStyle name="Note 2 2 2 9 2 2" xfId="15495" xr:uid="{C61D2CBC-2846-41AB-A12A-A4027275D933}"/>
    <cellStyle name="Note 2 2 2 9 3" xfId="11280" xr:uid="{684ED6B0-1EE8-441B-8A17-1DA25025688B}"/>
    <cellStyle name="Note 2 2 3" xfId="548" xr:uid="{00000000-0005-0000-0000-0000C3200000}"/>
    <cellStyle name="Note 2 2 3 10" xfId="9137" xr:uid="{E31B2381-3C9F-4A38-8234-F967E014ED5F}"/>
    <cellStyle name="Note 2 2 3 2" xfId="1009" xr:uid="{00000000-0005-0000-0000-0000C4200000}"/>
    <cellStyle name="Note 2 2 3 2 2" xfId="3241" xr:uid="{00000000-0005-0000-0000-0000C5200000}"/>
    <cellStyle name="Note 2 2 3 2 2 2" xfId="7463" xr:uid="{00000000-0005-0000-0000-0000C6200000}"/>
    <cellStyle name="Note 2 2 3 2 2 2 2" xfId="15910" xr:uid="{7492194F-AB0D-4B86-B936-45DEF28827E9}"/>
    <cellStyle name="Note 2 2 3 2 2 3" xfId="11695" xr:uid="{8264CF1A-2B37-4DDD-9B8F-6A4C0CACD120}"/>
    <cellStyle name="Note 2 2 3 2 3" xfId="5318" xr:uid="{00000000-0005-0000-0000-0000C7200000}"/>
    <cellStyle name="Note 2 2 3 2 3 2" xfId="13765" xr:uid="{99FD8372-2EEA-449E-981F-86B3DCC9C7F6}"/>
    <cellStyle name="Note 2 2 3 2 4" xfId="9550" xr:uid="{B34DF57A-3EB0-4D0B-903E-943E90129882}"/>
    <cellStyle name="Note 2 2 3 3" xfId="1424" xr:uid="{00000000-0005-0000-0000-0000C8200000}"/>
    <cellStyle name="Note 2 2 3 3 2" xfId="3654" xr:uid="{00000000-0005-0000-0000-0000C9200000}"/>
    <cellStyle name="Note 2 2 3 3 2 2" xfId="7876" xr:uid="{00000000-0005-0000-0000-0000CA200000}"/>
    <cellStyle name="Note 2 2 3 3 2 2 2" xfId="16323" xr:uid="{357FE0F5-3AE8-472C-ADD4-EA66799C2CE4}"/>
    <cellStyle name="Note 2 2 3 3 2 3" xfId="12108" xr:uid="{AC53806B-45D3-421A-915D-C4909CEEB4A7}"/>
    <cellStyle name="Note 2 2 3 3 3" xfId="5731" xr:uid="{00000000-0005-0000-0000-0000CB200000}"/>
    <cellStyle name="Note 2 2 3 3 3 2" xfId="14178" xr:uid="{61F26E85-659E-4FA0-AF5E-0DD08A640952}"/>
    <cellStyle name="Note 2 2 3 3 4" xfId="9963" xr:uid="{F53942F6-1CB4-4B9B-BD02-0AA30D8F32D2}"/>
    <cellStyle name="Note 2 2 3 4" xfId="1838" xr:uid="{00000000-0005-0000-0000-0000CC200000}"/>
    <cellStyle name="Note 2 2 3 4 2" xfId="4067" xr:uid="{00000000-0005-0000-0000-0000CD200000}"/>
    <cellStyle name="Note 2 2 3 4 2 2" xfId="8289" xr:uid="{00000000-0005-0000-0000-0000CE200000}"/>
    <cellStyle name="Note 2 2 3 4 2 2 2" xfId="16736" xr:uid="{54F342D9-20F8-422E-A127-AD74C4EC506B}"/>
    <cellStyle name="Note 2 2 3 4 2 3" xfId="12521" xr:uid="{3474110E-FE14-4619-9D06-1C1F323C98DD}"/>
    <cellStyle name="Note 2 2 3 4 3" xfId="6144" xr:uid="{00000000-0005-0000-0000-0000CF200000}"/>
    <cellStyle name="Note 2 2 3 4 3 2" xfId="14591" xr:uid="{B83A375E-F2CF-4E29-9321-8647301A1A1B}"/>
    <cellStyle name="Note 2 2 3 4 4" xfId="10376" xr:uid="{981B77B7-0510-4C26-8552-0CA88FFFC969}"/>
    <cellStyle name="Note 2 2 3 5" xfId="2251" xr:uid="{00000000-0005-0000-0000-0000D0200000}"/>
    <cellStyle name="Note 2 2 3 5 2" xfId="4480" xr:uid="{00000000-0005-0000-0000-0000D1200000}"/>
    <cellStyle name="Note 2 2 3 5 2 2" xfId="8702" xr:uid="{00000000-0005-0000-0000-0000D2200000}"/>
    <cellStyle name="Note 2 2 3 5 2 2 2" xfId="17149" xr:uid="{4B48542E-B616-4281-BA2F-797A544BA60F}"/>
    <cellStyle name="Note 2 2 3 5 2 3" xfId="12934" xr:uid="{E1419AD6-A1EC-4C63-8845-CB9C85E538D9}"/>
    <cellStyle name="Note 2 2 3 5 3" xfId="6557" xr:uid="{00000000-0005-0000-0000-0000D3200000}"/>
    <cellStyle name="Note 2 2 3 5 3 2" xfId="15004" xr:uid="{88A2F148-742A-4760-BC6E-CD62CA2BF056}"/>
    <cellStyle name="Note 2 2 3 5 4" xfId="10789" xr:uid="{52525AE1-35FA-489D-B1DB-23909DD963FC}"/>
    <cellStyle name="Note 2 2 3 6" xfId="2687" xr:uid="{00000000-0005-0000-0000-0000D4200000}"/>
    <cellStyle name="Note 2 2 3 6 2" xfId="6970" xr:uid="{00000000-0005-0000-0000-0000D5200000}"/>
    <cellStyle name="Note 2 2 3 6 2 2" xfId="15417" xr:uid="{F823F1FC-1707-443F-8F4C-790563A0691D}"/>
    <cellStyle name="Note 2 2 3 6 3" xfId="11202" xr:uid="{46716D91-69B6-4DF8-AA7D-0E7471E46779}"/>
    <cellStyle name="Note 2 2 3 7" xfId="2746" xr:uid="{00000000-0005-0000-0000-0000D6200000}"/>
    <cellStyle name="Note 2 2 3 8" xfId="2827" xr:uid="{00000000-0005-0000-0000-0000D7200000}"/>
    <cellStyle name="Note 2 2 3 8 2" xfId="7050" xr:uid="{00000000-0005-0000-0000-0000D8200000}"/>
    <cellStyle name="Note 2 2 3 8 2 2" xfId="15497" xr:uid="{502CB1D2-B42A-4DF1-8493-99CEA2916110}"/>
    <cellStyle name="Note 2 2 3 8 3" xfId="11282" xr:uid="{167C4234-C189-43FD-B089-0BC513B7CF3D}"/>
    <cellStyle name="Note 2 2 3 9" xfId="4905" xr:uid="{00000000-0005-0000-0000-0000D9200000}"/>
    <cellStyle name="Note 2 2 3 9 2" xfId="13352" xr:uid="{78DFD354-4700-4B69-92A2-67ED3B53C3B0}"/>
    <cellStyle name="Note 2 2 4" xfId="1006" xr:uid="{00000000-0005-0000-0000-0000DA200000}"/>
    <cellStyle name="Note 2 2 4 2" xfId="3238" xr:uid="{00000000-0005-0000-0000-0000DB200000}"/>
    <cellStyle name="Note 2 2 4 2 2" xfId="7460" xr:uid="{00000000-0005-0000-0000-0000DC200000}"/>
    <cellStyle name="Note 2 2 4 2 2 2" xfId="15907" xr:uid="{EF1C03D7-5B7D-49B2-9192-DB4A08ED0DA0}"/>
    <cellStyle name="Note 2 2 4 2 3" xfId="11692" xr:uid="{18955EAF-C2D9-4706-A743-D40D635CABAB}"/>
    <cellStyle name="Note 2 2 4 3" xfId="5315" xr:uid="{00000000-0005-0000-0000-0000DD200000}"/>
    <cellStyle name="Note 2 2 4 3 2" xfId="13762" xr:uid="{0A51C2C1-51C0-44C5-AE9C-37EA1A4DCFCD}"/>
    <cellStyle name="Note 2 2 4 4" xfId="9547" xr:uid="{ED5024AE-08AA-4855-93F4-92A9F93AD819}"/>
    <cellStyle name="Note 2 2 5" xfId="1421" xr:uid="{00000000-0005-0000-0000-0000DE200000}"/>
    <cellStyle name="Note 2 2 5 2" xfId="3651" xr:uid="{00000000-0005-0000-0000-0000DF200000}"/>
    <cellStyle name="Note 2 2 5 2 2" xfId="7873" xr:uid="{00000000-0005-0000-0000-0000E0200000}"/>
    <cellStyle name="Note 2 2 5 2 2 2" xfId="16320" xr:uid="{6E272F96-942F-4219-A3D8-87C36D7F7EBA}"/>
    <cellStyle name="Note 2 2 5 2 3" xfId="12105" xr:uid="{39E9F6B3-BDAC-4448-BF78-B5C781D863BB}"/>
    <cellStyle name="Note 2 2 5 3" xfId="5728" xr:uid="{00000000-0005-0000-0000-0000E1200000}"/>
    <cellStyle name="Note 2 2 5 3 2" xfId="14175" xr:uid="{820CA3EB-43F2-4219-B572-AD240122B86B}"/>
    <cellStyle name="Note 2 2 5 4" xfId="9960" xr:uid="{8C0C3EE7-9134-4CAD-A3B8-F689256E20FD}"/>
    <cellStyle name="Note 2 2 6" xfId="1835" xr:uid="{00000000-0005-0000-0000-0000E2200000}"/>
    <cellStyle name="Note 2 2 6 2" xfId="4064" xr:uid="{00000000-0005-0000-0000-0000E3200000}"/>
    <cellStyle name="Note 2 2 6 2 2" xfId="8286" xr:uid="{00000000-0005-0000-0000-0000E4200000}"/>
    <cellStyle name="Note 2 2 6 2 2 2" xfId="16733" xr:uid="{EFCAE11B-B326-43FE-881B-41FBB539356E}"/>
    <cellStyle name="Note 2 2 6 2 3" xfId="12518" xr:uid="{5843DE8C-B5E1-44C3-812B-F37BC7075B3A}"/>
    <cellStyle name="Note 2 2 6 3" xfId="6141" xr:uid="{00000000-0005-0000-0000-0000E5200000}"/>
    <cellStyle name="Note 2 2 6 3 2" xfId="14588" xr:uid="{9AED5433-F320-4D44-8D89-FA881AA5778F}"/>
    <cellStyle name="Note 2 2 6 4" xfId="10373" xr:uid="{3BA0E785-FD3B-4DA3-B57A-15FE950A5C97}"/>
    <cellStyle name="Note 2 2 7" xfId="2248" xr:uid="{00000000-0005-0000-0000-0000E6200000}"/>
    <cellStyle name="Note 2 2 7 2" xfId="4477" xr:uid="{00000000-0005-0000-0000-0000E7200000}"/>
    <cellStyle name="Note 2 2 7 2 2" xfId="8699" xr:uid="{00000000-0005-0000-0000-0000E8200000}"/>
    <cellStyle name="Note 2 2 7 2 2 2" xfId="17146" xr:uid="{F7397213-CD20-428C-AF9A-5CF5A762BDA2}"/>
    <cellStyle name="Note 2 2 7 2 3" xfId="12931" xr:uid="{52274350-96AB-489E-A141-95F1CE2D2A2C}"/>
    <cellStyle name="Note 2 2 7 3" xfId="6554" xr:uid="{00000000-0005-0000-0000-0000E9200000}"/>
    <cellStyle name="Note 2 2 7 3 2" xfId="15001" xr:uid="{C0DF935F-FBEA-44C4-B3C6-BD442B26F882}"/>
    <cellStyle name="Note 2 2 7 4" xfId="10786" xr:uid="{B7B9BBF6-741C-48AA-985A-EEB0C25F4C31}"/>
    <cellStyle name="Note 2 2 8" xfId="2684" xr:uid="{00000000-0005-0000-0000-0000EA200000}"/>
    <cellStyle name="Note 2 2 8 2" xfId="6967" xr:uid="{00000000-0005-0000-0000-0000EB200000}"/>
    <cellStyle name="Note 2 2 8 2 2" xfId="15414" xr:uid="{483B014A-27A4-4898-905D-00EB681C32F4}"/>
    <cellStyle name="Note 2 2 8 3" xfId="11199" xr:uid="{A80761E7-7CFC-4903-954D-057BE236103D}"/>
    <cellStyle name="Note 2 2 9" xfId="2743" xr:uid="{00000000-0005-0000-0000-0000EC200000}"/>
    <cellStyle name="Note 2 3" xfId="549" xr:uid="{00000000-0005-0000-0000-0000ED200000}"/>
    <cellStyle name="Note 2 3 10" xfId="4906" xr:uid="{00000000-0005-0000-0000-0000EE200000}"/>
    <cellStyle name="Note 2 3 10 2" xfId="13353" xr:uid="{8AB495AA-46F3-49EA-B0ED-805C99CC87B8}"/>
    <cellStyle name="Note 2 3 11" xfId="9138" xr:uid="{E40C2D0D-4BD0-412E-9B60-708D04AE914C}"/>
    <cellStyle name="Note 2 3 2" xfId="550" xr:uid="{00000000-0005-0000-0000-0000EF200000}"/>
    <cellStyle name="Note 2 3 2 10" xfId="9139" xr:uid="{46AE0F2E-233A-45A6-AF5D-0BDFC6D50E1E}"/>
    <cellStyle name="Note 2 3 2 2" xfId="1011" xr:uid="{00000000-0005-0000-0000-0000F0200000}"/>
    <cellStyle name="Note 2 3 2 2 2" xfId="3243" xr:uid="{00000000-0005-0000-0000-0000F1200000}"/>
    <cellStyle name="Note 2 3 2 2 2 2" xfId="7465" xr:uid="{00000000-0005-0000-0000-0000F2200000}"/>
    <cellStyle name="Note 2 3 2 2 2 2 2" xfId="15912" xr:uid="{35FC3BFA-137E-462B-B0F7-4D488BDDA3BE}"/>
    <cellStyle name="Note 2 3 2 2 2 3" xfId="11697" xr:uid="{4B4AC591-4163-40DD-8245-6F0411CD94DF}"/>
    <cellStyle name="Note 2 3 2 2 3" xfId="5320" xr:uid="{00000000-0005-0000-0000-0000F3200000}"/>
    <cellStyle name="Note 2 3 2 2 3 2" xfId="13767" xr:uid="{58737244-2850-414F-B203-7D5B1B647024}"/>
    <cellStyle name="Note 2 3 2 2 4" xfId="9552" xr:uid="{5792F07C-16F4-436F-8AA7-73CE7C43C387}"/>
    <cellStyle name="Note 2 3 2 3" xfId="1426" xr:uid="{00000000-0005-0000-0000-0000F4200000}"/>
    <cellStyle name="Note 2 3 2 3 2" xfId="3656" xr:uid="{00000000-0005-0000-0000-0000F5200000}"/>
    <cellStyle name="Note 2 3 2 3 2 2" xfId="7878" xr:uid="{00000000-0005-0000-0000-0000F6200000}"/>
    <cellStyle name="Note 2 3 2 3 2 2 2" xfId="16325" xr:uid="{620C3EE3-2FF5-41C7-8A2D-CF2A91583ED7}"/>
    <cellStyle name="Note 2 3 2 3 2 3" xfId="12110" xr:uid="{6140EA03-8721-42D2-B11B-22F9AD02F195}"/>
    <cellStyle name="Note 2 3 2 3 3" xfId="5733" xr:uid="{00000000-0005-0000-0000-0000F7200000}"/>
    <cellStyle name="Note 2 3 2 3 3 2" xfId="14180" xr:uid="{3F8B096E-1B12-475F-AF80-7A76F810C04E}"/>
    <cellStyle name="Note 2 3 2 3 4" xfId="9965" xr:uid="{F16DF5A6-491D-4461-8F69-DF8D2B845CF5}"/>
    <cellStyle name="Note 2 3 2 4" xfId="1840" xr:uid="{00000000-0005-0000-0000-0000F8200000}"/>
    <cellStyle name="Note 2 3 2 4 2" xfId="4069" xr:uid="{00000000-0005-0000-0000-0000F9200000}"/>
    <cellStyle name="Note 2 3 2 4 2 2" xfId="8291" xr:uid="{00000000-0005-0000-0000-0000FA200000}"/>
    <cellStyle name="Note 2 3 2 4 2 2 2" xfId="16738" xr:uid="{3180AEEB-B4E6-415E-9B71-0E2CE5311C6F}"/>
    <cellStyle name="Note 2 3 2 4 2 3" xfId="12523" xr:uid="{758825D3-A4B6-4F92-894E-930F0C4FFA12}"/>
    <cellStyle name="Note 2 3 2 4 3" xfId="6146" xr:uid="{00000000-0005-0000-0000-0000FB200000}"/>
    <cellStyle name="Note 2 3 2 4 3 2" xfId="14593" xr:uid="{BDC057F3-887B-49F5-ACAE-B8B298A607BB}"/>
    <cellStyle name="Note 2 3 2 4 4" xfId="10378" xr:uid="{BFA4EDF1-E6F6-4CDC-960D-BE72832E435C}"/>
    <cellStyle name="Note 2 3 2 5" xfId="2253" xr:uid="{00000000-0005-0000-0000-0000FC200000}"/>
    <cellStyle name="Note 2 3 2 5 2" xfId="4482" xr:uid="{00000000-0005-0000-0000-0000FD200000}"/>
    <cellStyle name="Note 2 3 2 5 2 2" xfId="8704" xr:uid="{00000000-0005-0000-0000-0000FE200000}"/>
    <cellStyle name="Note 2 3 2 5 2 2 2" xfId="17151" xr:uid="{DD6ADB86-1FBF-48D6-BBD5-F5C49E94BBCD}"/>
    <cellStyle name="Note 2 3 2 5 2 3" xfId="12936" xr:uid="{FDBB104E-31E2-4D6C-9E85-58F63F7E0146}"/>
    <cellStyle name="Note 2 3 2 5 3" xfId="6559" xr:uid="{00000000-0005-0000-0000-0000FF200000}"/>
    <cellStyle name="Note 2 3 2 5 3 2" xfId="15006" xr:uid="{938B2190-EEA5-4273-AA2D-4600487DBCF2}"/>
    <cellStyle name="Note 2 3 2 5 4" xfId="10791" xr:uid="{BC106DFB-46DF-4492-A96F-A6BE8D331988}"/>
    <cellStyle name="Note 2 3 2 6" xfId="2689" xr:uid="{00000000-0005-0000-0000-000000210000}"/>
    <cellStyle name="Note 2 3 2 6 2" xfId="6972" xr:uid="{00000000-0005-0000-0000-000001210000}"/>
    <cellStyle name="Note 2 3 2 6 2 2" xfId="15419" xr:uid="{B6532A48-F471-4E74-A327-6E9061889423}"/>
    <cellStyle name="Note 2 3 2 6 3" xfId="11204" xr:uid="{C1401E85-889C-461B-912D-C4A7C3E29CA6}"/>
    <cellStyle name="Note 2 3 2 7" xfId="2748" xr:uid="{00000000-0005-0000-0000-000002210000}"/>
    <cellStyle name="Note 2 3 2 8" xfId="2829" xr:uid="{00000000-0005-0000-0000-000003210000}"/>
    <cellStyle name="Note 2 3 2 8 2" xfId="7052" xr:uid="{00000000-0005-0000-0000-000004210000}"/>
    <cellStyle name="Note 2 3 2 8 2 2" xfId="15499" xr:uid="{59626F95-B016-459D-A6B3-043142F41674}"/>
    <cellStyle name="Note 2 3 2 8 3" xfId="11284" xr:uid="{DDAEB421-97F2-4C81-B00A-68BCBA040813}"/>
    <cellStyle name="Note 2 3 2 9" xfId="4907" xr:uid="{00000000-0005-0000-0000-000005210000}"/>
    <cellStyle name="Note 2 3 2 9 2" xfId="13354" xr:uid="{47BBF6FC-E0DA-479D-A2C9-B936E2343FE6}"/>
    <cellStyle name="Note 2 3 3" xfId="1010" xr:uid="{00000000-0005-0000-0000-000006210000}"/>
    <cellStyle name="Note 2 3 3 2" xfId="3242" xr:uid="{00000000-0005-0000-0000-000007210000}"/>
    <cellStyle name="Note 2 3 3 2 2" xfId="7464" xr:uid="{00000000-0005-0000-0000-000008210000}"/>
    <cellStyle name="Note 2 3 3 2 2 2" xfId="15911" xr:uid="{9EC2198A-BF07-44E1-AACB-356694D9F681}"/>
    <cellStyle name="Note 2 3 3 2 3" xfId="11696" xr:uid="{B46C6CE2-FDFE-4A06-8600-0434A94B94DB}"/>
    <cellStyle name="Note 2 3 3 3" xfId="5319" xr:uid="{00000000-0005-0000-0000-000009210000}"/>
    <cellStyle name="Note 2 3 3 3 2" xfId="13766" xr:uid="{4551957F-FA00-4A4B-9F1A-A93D7B5B1B19}"/>
    <cellStyle name="Note 2 3 3 4" xfId="9551" xr:uid="{8A2F298E-E684-43A0-9A59-C79B234CB712}"/>
    <cellStyle name="Note 2 3 4" xfId="1425" xr:uid="{00000000-0005-0000-0000-00000A210000}"/>
    <cellStyle name="Note 2 3 4 2" xfId="3655" xr:uid="{00000000-0005-0000-0000-00000B210000}"/>
    <cellStyle name="Note 2 3 4 2 2" xfId="7877" xr:uid="{00000000-0005-0000-0000-00000C210000}"/>
    <cellStyle name="Note 2 3 4 2 2 2" xfId="16324" xr:uid="{7F94EF7B-C9A3-4294-B5D0-8A796A965FEA}"/>
    <cellStyle name="Note 2 3 4 2 3" xfId="12109" xr:uid="{D0924D42-B46A-4337-A5A9-AD5CEFE27074}"/>
    <cellStyle name="Note 2 3 4 3" xfId="5732" xr:uid="{00000000-0005-0000-0000-00000D210000}"/>
    <cellStyle name="Note 2 3 4 3 2" xfId="14179" xr:uid="{3AD3BAC0-D64A-48F9-AE24-58FA85D14670}"/>
    <cellStyle name="Note 2 3 4 4" xfId="9964" xr:uid="{756B5247-ECB4-4135-AB59-DEA04A72D2E8}"/>
    <cellStyle name="Note 2 3 5" xfId="1839" xr:uid="{00000000-0005-0000-0000-00000E210000}"/>
    <cellStyle name="Note 2 3 5 2" xfId="4068" xr:uid="{00000000-0005-0000-0000-00000F210000}"/>
    <cellStyle name="Note 2 3 5 2 2" xfId="8290" xr:uid="{00000000-0005-0000-0000-000010210000}"/>
    <cellStyle name="Note 2 3 5 2 2 2" xfId="16737" xr:uid="{F2459F38-DB42-485C-93C6-F581BC1A43AB}"/>
    <cellStyle name="Note 2 3 5 2 3" xfId="12522" xr:uid="{BB525CF5-E671-4D74-9F84-ADDE58327983}"/>
    <cellStyle name="Note 2 3 5 3" xfId="6145" xr:uid="{00000000-0005-0000-0000-000011210000}"/>
    <cellStyle name="Note 2 3 5 3 2" xfId="14592" xr:uid="{7224F76B-873B-46A0-A17A-276F51EA5A56}"/>
    <cellStyle name="Note 2 3 5 4" xfId="10377" xr:uid="{A5A24C78-D6A1-493F-97B1-84142EDF42CD}"/>
    <cellStyle name="Note 2 3 6" xfId="2252" xr:uid="{00000000-0005-0000-0000-000012210000}"/>
    <cellStyle name="Note 2 3 6 2" xfId="4481" xr:uid="{00000000-0005-0000-0000-000013210000}"/>
    <cellStyle name="Note 2 3 6 2 2" xfId="8703" xr:uid="{00000000-0005-0000-0000-000014210000}"/>
    <cellStyle name="Note 2 3 6 2 2 2" xfId="17150" xr:uid="{4D15F5BF-8845-4999-9870-7A6A27345EEC}"/>
    <cellStyle name="Note 2 3 6 2 3" xfId="12935" xr:uid="{E7CE514E-1DE6-4C8C-8057-8BC6A3C15B6E}"/>
    <cellStyle name="Note 2 3 6 3" xfId="6558" xr:uid="{00000000-0005-0000-0000-000015210000}"/>
    <cellStyle name="Note 2 3 6 3 2" xfId="15005" xr:uid="{598DAC47-7AF4-4161-BA9D-2098BB6357E6}"/>
    <cellStyle name="Note 2 3 6 4" xfId="10790" xr:uid="{B1C6218C-1989-47B5-A836-2D933C252770}"/>
    <cellStyle name="Note 2 3 7" xfId="2688" xr:uid="{00000000-0005-0000-0000-000016210000}"/>
    <cellStyle name="Note 2 3 7 2" xfId="6971" xr:uid="{00000000-0005-0000-0000-000017210000}"/>
    <cellStyle name="Note 2 3 7 2 2" xfId="15418" xr:uid="{F6611986-8EEE-4578-86DF-C737DE58E318}"/>
    <cellStyle name="Note 2 3 7 3" xfId="11203" xr:uid="{17379E8C-62D7-4405-B508-3AF9E8097AC8}"/>
    <cellStyle name="Note 2 3 8" xfId="2747" xr:uid="{00000000-0005-0000-0000-000018210000}"/>
    <cellStyle name="Note 2 3 9" xfId="2828" xr:uid="{00000000-0005-0000-0000-000019210000}"/>
    <cellStyle name="Note 2 3 9 2" xfId="7051" xr:uid="{00000000-0005-0000-0000-00001A210000}"/>
    <cellStyle name="Note 2 3 9 2 2" xfId="15498" xr:uid="{68F405C5-44F5-4E37-8194-D4018D56B8BA}"/>
    <cellStyle name="Note 2 3 9 3" xfId="11283" xr:uid="{4DCAF9A6-437A-4CDD-9E85-64BD314622D4}"/>
    <cellStyle name="Note 2 4" xfId="551" xr:uid="{00000000-0005-0000-0000-00001B210000}"/>
    <cellStyle name="Note 2 4 10" xfId="9140" xr:uid="{4F0ADC4A-0504-4685-AB87-C17262B1D3B9}"/>
    <cellStyle name="Note 2 4 2" xfId="1012" xr:uid="{00000000-0005-0000-0000-00001C210000}"/>
    <cellStyle name="Note 2 4 2 2" xfId="3244" xr:uid="{00000000-0005-0000-0000-00001D210000}"/>
    <cellStyle name="Note 2 4 2 2 2" xfId="7466" xr:uid="{00000000-0005-0000-0000-00001E210000}"/>
    <cellStyle name="Note 2 4 2 2 2 2" xfId="15913" xr:uid="{4950AFAD-03ED-4BBF-B12F-B4CC032617E2}"/>
    <cellStyle name="Note 2 4 2 2 3" xfId="11698" xr:uid="{04FA833A-BA87-4663-A8D3-472296106619}"/>
    <cellStyle name="Note 2 4 2 3" xfId="5321" xr:uid="{00000000-0005-0000-0000-00001F210000}"/>
    <cellStyle name="Note 2 4 2 3 2" xfId="13768" xr:uid="{1052C299-B235-4D64-8BF3-EBB61F60B269}"/>
    <cellStyle name="Note 2 4 2 4" xfId="9553" xr:uid="{45A44F23-2B74-4522-A468-9D2777E36E13}"/>
    <cellStyle name="Note 2 4 3" xfId="1427" xr:uid="{00000000-0005-0000-0000-000020210000}"/>
    <cellStyle name="Note 2 4 3 2" xfId="3657" xr:uid="{00000000-0005-0000-0000-000021210000}"/>
    <cellStyle name="Note 2 4 3 2 2" xfId="7879" xr:uid="{00000000-0005-0000-0000-000022210000}"/>
    <cellStyle name="Note 2 4 3 2 2 2" xfId="16326" xr:uid="{BE0E6288-A269-4616-9519-682D604B511D}"/>
    <cellStyle name="Note 2 4 3 2 3" xfId="12111" xr:uid="{04D7D474-1116-48DD-827F-219419E49439}"/>
    <cellStyle name="Note 2 4 3 3" xfId="5734" xr:uid="{00000000-0005-0000-0000-000023210000}"/>
    <cellStyle name="Note 2 4 3 3 2" xfId="14181" xr:uid="{E0D251F7-6D81-4F16-B7B8-EDCC8D48D435}"/>
    <cellStyle name="Note 2 4 3 4" xfId="9966" xr:uid="{8A2AAAAE-F7D3-4060-B4E1-553858524B7D}"/>
    <cellStyle name="Note 2 4 4" xfId="1841" xr:uid="{00000000-0005-0000-0000-000024210000}"/>
    <cellStyle name="Note 2 4 4 2" xfId="4070" xr:uid="{00000000-0005-0000-0000-000025210000}"/>
    <cellStyle name="Note 2 4 4 2 2" xfId="8292" xr:uid="{00000000-0005-0000-0000-000026210000}"/>
    <cellStyle name="Note 2 4 4 2 2 2" xfId="16739" xr:uid="{C49694BD-5D47-452F-A09F-C2300D143305}"/>
    <cellStyle name="Note 2 4 4 2 3" xfId="12524" xr:uid="{B5C873A2-A579-4182-B104-B904F8FA0E7B}"/>
    <cellStyle name="Note 2 4 4 3" xfId="6147" xr:uid="{00000000-0005-0000-0000-000027210000}"/>
    <cellStyle name="Note 2 4 4 3 2" xfId="14594" xr:uid="{1FC77F5D-2F30-4A5B-85DE-32D3C84166FE}"/>
    <cellStyle name="Note 2 4 4 4" xfId="10379" xr:uid="{78063681-2F40-4C1A-BC52-00B8D553E704}"/>
    <cellStyle name="Note 2 4 5" xfId="2254" xr:uid="{00000000-0005-0000-0000-000028210000}"/>
    <cellStyle name="Note 2 4 5 2" xfId="4483" xr:uid="{00000000-0005-0000-0000-000029210000}"/>
    <cellStyle name="Note 2 4 5 2 2" xfId="8705" xr:uid="{00000000-0005-0000-0000-00002A210000}"/>
    <cellStyle name="Note 2 4 5 2 2 2" xfId="17152" xr:uid="{FD257DD9-BE77-433D-9221-2F187C0BFDFB}"/>
    <cellStyle name="Note 2 4 5 2 3" xfId="12937" xr:uid="{A53776FC-B336-4B9B-953C-CC26C7558345}"/>
    <cellStyle name="Note 2 4 5 3" xfId="6560" xr:uid="{00000000-0005-0000-0000-00002B210000}"/>
    <cellStyle name="Note 2 4 5 3 2" xfId="15007" xr:uid="{5CF8C099-5D5E-475B-8D4D-02A92FDAA645}"/>
    <cellStyle name="Note 2 4 5 4" xfId="10792" xr:uid="{3B287704-DE49-4AF3-8236-91E08CE96866}"/>
    <cellStyle name="Note 2 4 6" xfId="2690" xr:uid="{00000000-0005-0000-0000-00002C210000}"/>
    <cellStyle name="Note 2 4 6 2" xfId="6973" xr:uid="{00000000-0005-0000-0000-00002D210000}"/>
    <cellStyle name="Note 2 4 6 2 2" xfId="15420" xr:uid="{C08B074F-8F4F-4A40-A54A-BC42DBFE2007}"/>
    <cellStyle name="Note 2 4 6 3" xfId="11205" xr:uid="{64E3127C-0C77-42C7-B9CD-F5A2927EF445}"/>
    <cellStyle name="Note 2 4 7" xfId="2749" xr:uid="{00000000-0005-0000-0000-00002E210000}"/>
    <cellStyle name="Note 2 4 8" xfId="2830" xr:uid="{00000000-0005-0000-0000-00002F210000}"/>
    <cellStyle name="Note 2 4 8 2" xfId="7053" xr:uid="{00000000-0005-0000-0000-000030210000}"/>
    <cellStyle name="Note 2 4 8 2 2" xfId="15500" xr:uid="{B73C26DB-351F-40B8-B2BB-D1866C15157F}"/>
    <cellStyle name="Note 2 4 8 3" xfId="11285" xr:uid="{35E13D44-C699-4C11-98FA-80627D75B816}"/>
    <cellStyle name="Note 2 4 9" xfId="4908" xr:uid="{00000000-0005-0000-0000-000031210000}"/>
    <cellStyle name="Note 2 4 9 2" xfId="13355" xr:uid="{C649A7F7-A681-4014-9F61-375FBC4D6898}"/>
    <cellStyle name="Note 2 5" xfId="552" xr:uid="{00000000-0005-0000-0000-000032210000}"/>
    <cellStyle name="Note 2 5 10" xfId="9141" xr:uid="{A7BBD565-ABA2-4F6D-9AFD-69ED64E2E9FB}"/>
    <cellStyle name="Note 2 5 2" xfId="1013" xr:uid="{00000000-0005-0000-0000-000033210000}"/>
    <cellStyle name="Note 2 5 2 2" xfId="3245" xr:uid="{00000000-0005-0000-0000-000034210000}"/>
    <cellStyle name="Note 2 5 2 2 2" xfId="7467" xr:uid="{00000000-0005-0000-0000-000035210000}"/>
    <cellStyle name="Note 2 5 2 2 2 2" xfId="15914" xr:uid="{C9816F9E-E8F4-4E4E-B770-6993052F4380}"/>
    <cellStyle name="Note 2 5 2 2 3" xfId="11699" xr:uid="{FA1B843E-6BDD-441E-A30A-35289F84E423}"/>
    <cellStyle name="Note 2 5 2 3" xfId="5322" xr:uid="{00000000-0005-0000-0000-000036210000}"/>
    <cellStyle name="Note 2 5 2 3 2" xfId="13769" xr:uid="{C42222E4-5E89-48F0-A870-A15B13731B6E}"/>
    <cellStyle name="Note 2 5 2 4" xfId="9554" xr:uid="{6F94AED5-47E4-44CC-9397-FE14F1D49195}"/>
    <cellStyle name="Note 2 5 3" xfId="1428" xr:uid="{00000000-0005-0000-0000-000037210000}"/>
    <cellStyle name="Note 2 5 3 2" xfId="3658" xr:uid="{00000000-0005-0000-0000-000038210000}"/>
    <cellStyle name="Note 2 5 3 2 2" xfId="7880" xr:uid="{00000000-0005-0000-0000-000039210000}"/>
    <cellStyle name="Note 2 5 3 2 2 2" xfId="16327" xr:uid="{CFB5FD6C-1633-4EA3-A87E-9469A5BF9DCE}"/>
    <cellStyle name="Note 2 5 3 2 3" xfId="12112" xr:uid="{967C262A-D7BC-4C4E-BE60-64A9681CD861}"/>
    <cellStyle name="Note 2 5 3 3" xfId="5735" xr:uid="{00000000-0005-0000-0000-00003A210000}"/>
    <cellStyle name="Note 2 5 3 3 2" xfId="14182" xr:uid="{5D7A6371-0F61-414C-846C-E668F84B8F1E}"/>
    <cellStyle name="Note 2 5 3 4" xfId="9967" xr:uid="{75EE36E2-919A-4ABA-896A-2D2FC30F1598}"/>
    <cellStyle name="Note 2 5 4" xfId="1842" xr:uid="{00000000-0005-0000-0000-00003B210000}"/>
    <cellStyle name="Note 2 5 4 2" xfId="4071" xr:uid="{00000000-0005-0000-0000-00003C210000}"/>
    <cellStyle name="Note 2 5 4 2 2" xfId="8293" xr:uid="{00000000-0005-0000-0000-00003D210000}"/>
    <cellStyle name="Note 2 5 4 2 2 2" xfId="16740" xr:uid="{59B5A1FC-C0D5-4B90-864F-DFDDAB8579F4}"/>
    <cellStyle name="Note 2 5 4 2 3" xfId="12525" xr:uid="{F0702B71-5F3C-48AE-83FE-261EA0997201}"/>
    <cellStyle name="Note 2 5 4 3" xfId="6148" xr:uid="{00000000-0005-0000-0000-00003E210000}"/>
    <cellStyle name="Note 2 5 4 3 2" xfId="14595" xr:uid="{694E38E6-7E95-4DBB-86A8-BFD6BA0C51D7}"/>
    <cellStyle name="Note 2 5 4 4" xfId="10380" xr:uid="{2E3E034B-FB6E-43DA-BFA9-1FB0442BE7AB}"/>
    <cellStyle name="Note 2 5 5" xfId="2255" xr:uid="{00000000-0005-0000-0000-00003F210000}"/>
    <cellStyle name="Note 2 5 5 2" xfId="4484" xr:uid="{00000000-0005-0000-0000-000040210000}"/>
    <cellStyle name="Note 2 5 5 2 2" xfId="8706" xr:uid="{00000000-0005-0000-0000-000041210000}"/>
    <cellStyle name="Note 2 5 5 2 2 2" xfId="17153" xr:uid="{203C44E0-686C-4DD5-A5F4-A27471B2A038}"/>
    <cellStyle name="Note 2 5 5 2 3" xfId="12938" xr:uid="{C1095E1E-C48F-46A3-AF81-A9A29C849696}"/>
    <cellStyle name="Note 2 5 5 3" xfId="6561" xr:uid="{00000000-0005-0000-0000-000042210000}"/>
    <cellStyle name="Note 2 5 5 3 2" xfId="15008" xr:uid="{1D6CD722-BB27-4CB5-8BFE-3EEA6AD6C868}"/>
    <cellStyle name="Note 2 5 5 4" xfId="10793" xr:uid="{31D1FFA6-B70B-4A2B-B9E9-63129007AE1F}"/>
    <cellStyle name="Note 2 5 6" xfId="2691" xr:uid="{00000000-0005-0000-0000-000043210000}"/>
    <cellStyle name="Note 2 5 6 2" xfId="6974" xr:uid="{00000000-0005-0000-0000-000044210000}"/>
    <cellStyle name="Note 2 5 6 2 2" xfId="15421" xr:uid="{8B269AD3-BF3E-47A8-B819-F05BBCEA407B}"/>
    <cellStyle name="Note 2 5 6 3" xfId="11206" xr:uid="{9ADB9930-886B-4154-A3AC-A500455EDD4D}"/>
    <cellStyle name="Note 2 5 7" xfId="2750" xr:uid="{00000000-0005-0000-0000-000045210000}"/>
    <cellStyle name="Note 2 5 8" xfId="2831" xr:uid="{00000000-0005-0000-0000-000046210000}"/>
    <cellStyle name="Note 2 5 8 2" xfId="7054" xr:uid="{00000000-0005-0000-0000-000047210000}"/>
    <cellStyle name="Note 2 5 8 2 2" xfId="15501" xr:uid="{0C762827-F864-4F5D-99E6-03D03AC6423F}"/>
    <cellStyle name="Note 2 5 8 3" xfId="11286" xr:uid="{015B16D9-8069-42A9-950F-D5A161A406B1}"/>
    <cellStyle name="Note 2 5 9" xfId="4909" xr:uid="{00000000-0005-0000-0000-000048210000}"/>
    <cellStyle name="Note 2 5 9 2" xfId="13356" xr:uid="{64298A75-90D3-47B0-9167-F06D0D2F463D}"/>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2" xr:uid="{C3DD125B-C5B2-4C23-8267-148881BDC931}"/>
    <cellStyle name="Note 3 2 10 3" xfId="11287" xr:uid="{6BFACB6B-A59B-4D52-BD2B-545568D737FC}"/>
    <cellStyle name="Note 3 2 11" xfId="4910" xr:uid="{00000000-0005-0000-0000-00004D210000}"/>
    <cellStyle name="Note 3 2 11 2" xfId="13357" xr:uid="{9805CC4D-6FD8-449F-8490-97A35D6EE16C}"/>
    <cellStyle name="Note 3 2 12" xfId="9142" xr:uid="{C2889A7B-259B-4B22-B41C-C23CA67A0959}"/>
    <cellStyle name="Note 3 2 2" xfId="555" xr:uid="{00000000-0005-0000-0000-00004E210000}"/>
    <cellStyle name="Note 3 2 2 10" xfId="4911" xr:uid="{00000000-0005-0000-0000-00004F210000}"/>
    <cellStyle name="Note 3 2 2 10 2" xfId="13358" xr:uid="{4FE0811F-D77E-4CEC-8A08-FB76AD7BEDAF}"/>
    <cellStyle name="Note 3 2 2 11" xfId="9143" xr:uid="{B5F85696-5A6A-43DB-98BD-7262248B69DD}"/>
    <cellStyle name="Note 3 2 2 2" xfId="556" xr:uid="{00000000-0005-0000-0000-000050210000}"/>
    <cellStyle name="Note 3 2 2 2 10" xfId="9144" xr:uid="{CEB817FF-2F81-4EC6-81A5-C2373E3C9710}"/>
    <cellStyle name="Note 3 2 2 2 2" xfId="1016" xr:uid="{00000000-0005-0000-0000-000051210000}"/>
    <cellStyle name="Note 3 2 2 2 2 2" xfId="3248" xr:uid="{00000000-0005-0000-0000-000052210000}"/>
    <cellStyle name="Note 3 2 2 2 2 2 2" xfId="7470" xr:uid="{00000000-0005-0000-0000-000053210000}"/>
    <cellStyle name="Note 3 2 2 2 2 2 2 2" xfId="15917" xr:uid="{872E5AE5-C080-48E8-9FF8-CC1F46C21411}"/>
    <cellStyle name="Note 3 2 2 2 2 2 3" xfId="11702" xr:uid="{30DFD7DE-A212-43B4-B34B-2E62D1549099}"/>
    <cellStyle name="Note 3 2 2 2 2 3" xfId="5325" xr:uid="{00000000-0005-0000-0000-000054210000}"/>
    <cellStyle name="Note 3 2 2 2 2 3 2" xfId="13772" xr:uid="{BA7F21A5-9F17-427B-9269-2EC705EAAC31}"/>
    <cellStyle name="Note 3 2 2 2 2 4" xfId="9557" xr:uid="{84CD6EC1-B9F2-4B06-BB7B-EE90273074E2}"/>
    <cellStyle name="Note 3 2 2 2 3" xfId="1431" xr:uid="{00000000-0005-0000-0000-000055210000}"/>
    <cellStyle name="Note 3 2 2 2 3 2" xfId="3661" xr:uid="{00000000-0005-0000-0000-000056210000}"/>
    <cellStyle name="Note 3 2 2 2 3 2 2" xfId="7883" xr:uid="{00000000-0005-0000-0000-000057210000}"/>
    <cellStyle name="Note 3 2 2 2 3 2 2 2" xfId="16330" xr:uid="{BBA2BE7C-D946-48D0-9C47-D1995D9BD86C}"/>
    <cellStyle name="Note 3 2 2 2 3 2 3" xfId="12115" xr:uid="{35AC236A-D3EC-4294-8E98-EAEC99CFC5C4}"/>
    <cellStyle name="Note 3 2 2 2 3 3" xfId="5738" xr:uid="{00000000-0005-0000-0000-000058210000}"/>
    <cellStyle name="Note 3 2 2 2 3 3 2" xfId="14185" xr:uid="{145EAC3D-F9E3-419F-8204-A203BECB1EE8}"/>
    <cellStyle name="Note 3 2 2 2 3 4" xfId="9970" xr:uid="{487E3A4B-FFD0-492A-A6FF-3DF047198905}"/>
    <cellStyle name="Note 3 2 2 2 4" xfId="1845" xr:uid="{00000000-0005-0000-0000-000059210000}"/>
    <cellStyle name="Note 3 2 2 2 4 2" xfId="4074" xr:uid="{00000000-0005-0000-0000-00005A210000}"/>
    <cellStyle name="Note 3 2 2 2 4 2 2" xfId="8296" xr:uid="{00000000-0005-0000-0000-00005B210000}"/>
    <cellStyle name="Note 3 2 2 2 4 2 2 2" xfId="16743" xr:uid="{2DA4C453-EC81-4E85-A568-727607ACFA6C}"/>
    <cellStyle name="Note 3 2 2 2 4 2 3" xfId="12528" xr:uid="{024C51E9-65DF-48FD-9318-41013BBA0949}"/>
    <cellStyle name="Note 3 2 2 2 4 3" xfId="6151" xr:uid="{00000000-0005-0000-0000-00005C210000}"/>
    <cellStyle name="Note 3 2 2 2 4 3 2" xfId="14598" xr:uid="{CE75A270-15C6-4748-90EE-7CADBFC598E7}"/>
    <cellStyle name="Note 3 2 2 2 4 4" xfId="10383" xr:uid="{264FE458-F67B-4EF4-8B29-54DF864C233F}"/>
    <cellStyle name="Note 3 2 2 2 5" xfId="2258" xr:uid="{00000000-0005-0000-0000-00005D210000}"/>
    <cellStyle name="Note 3 2 2 2 5 2" xfId="4487" xr:uid="{00000000-0005-0000-0000-00005E210000}"/>
    <cellStyle name="Note 3 2 2 2 5 2 2" xfId="8709" xr:uid="{00000000-0005-0000-0000-00005F210000}"/>
    <cellStyle name="Note 3 2 2 2 5 2 2 2" xfId="17156" xr:uid="{BF88CFFD-2926-44C8-83CC-888F0DE7E68D}"/>
    <cellStyle name="Note 3 2 2 2 5 2 3" xfId="12941" xr:uid="{91AE4F53-2042-483C-B354-26307C14E5C2}"/>
    <cellStyle name="Note 3 2 2 2 5 3" xfId="6564" xr:uid="{00000000-0005-0000-0000-000060210000}"/>
    <cellStyle name="Note 3 2 2 2 5 3 2" xfId="15011" xr:uid="{1A30E5A5-1AA2-431A-A0C2-CA33B97739A4}"/>
    <cellStyle name="Note 3 2 2 2 5 4" xfId="10796" xr:uid="{A3C68A6C-1F77-4E8C-8C8D-0D9B9067A7BC}"/>
    <cellStyle name="Note 3 2 2 2 6" xfId="2694" xr:uid="{00000000-0005-0000-0000-000061210000}"/>
    <cellStyle name="Note 3 2 2 2 6 2" xfId="6977" xr:uid="{00000000-0005-0000-0000-000062210000}"/>
    <cellStyle name="Note 3 2 2 2 6 2 2" xfId="15424" xr:uid="{E83DB77F-38BF-4CCA-BA3B-DA40A9C09673}"/>
    <cellStyle name="Note 3 2 2 2 6 3" xfId="11209" xr:uid="{882D0473-D498-48D3-BD27-7631FC877B4C}"/>
    <cellStyle name="Note 3 2 2 2 7" xfId="2753" xr:uid="{00000000-0005-0000-0000-000063210000}"/>
    <cellStyle name="Note 3 2 2 2 8" xfId="2834" xr:uid="{00000000-0005-0000-0000-000064210000}"/>
    <cellStyle name="Note 3 2 2 2 8 2" xfId="7057" xr:uid="{00000000-0005-0000-0000-000065210000}"/>
    <cellStyle name="Note 3 2 2 2 8 2 2" xfId="15504" xr:uid="{B3FDFCF0-7D98-4EA6-BD91-EE27F69E5CBD}"/>
    <cellStyle name="Note 3 2 2 2 8 3" xfId="11289" xr:uid="{A13A0A26-5CE0-476D-A4B5-36785DFFF85C}"/>
    <cellStyle name="Note 3 2 2 2 9" xfId="4912" xr:uid="{00000000-0005-0000-0000-000066210000}"/>
    <cellStyle name="Note 3 2 2 2 9 2" xfId="13359" xr:uid="{123B6085-7F26-49D9-8590-0456D49921F9}"/>
    <cellStyle name="Note 3 2 2 3" xfId="1015" xr:uid="{00000000-0005-0000-0000-000067210000}"/>
    <cellStyle name="Note 3 2 2 3 2" xfId="3247" xr:uid="{00000000-0005-0000-0000-000068210000}"/>
    <cellStyle name="Note 3 2 2 3 2 2" xfId="7469" xr:uid="{00000000-0005-0000-0000-000069210000}"/>
    <cellStyle name="Note 3 2 2 3 2 2 2" xfId="15916" xr:uid="{B31A5410-38F8-4177-B3E5-341DE1E23D2A}"/>
    <cellStyle name="Note 3 2 2 3 2 3" xfId="11701" xr:uid="{D8073342-51A1-43AC-ADC5-758D229D478D}"/>
    <cellStyle name="Note 3 2 2 3 3" xfId="5324" xr:uid="{00000000-0005-0000-0000-00006A210000}"/>
    <cellStyle name="Note 3 2 2 3 3 2" xfId="13771" xr:uid="{07ACD9EE-71CA-4126-9236-2E542D19A338}"/>
    <cellStyle name="Note 3 2 2 3 4" xfId="9556" xr:uid="{FB9BDE98-A630-4CC9-9F1D-1A869C06644C}"/>
    <cellStyle name="Note 3 2 2 4" xfId="1430" xr:uid="{00000000-0005-0000-0000-00006B210000}"/>
    <cellStyle name="Note 3 2 2 4 2" xfId="3660" xr:uid="{00000000-0005-0000-0000-00006C210000}"/>
    <cellStyle name="Note 3 2 2 4 2 2" xfId="7882" xr:uid="{00000000-0005-0000-0000-00006D210000}"/>
    <cellStyle name="Note 3 2 2 4 2 2 2" xfId="16329" xr:uid="{BF987785-20D6-49D7-B4B5-F21301D80C5B}"/>
    <cellStyle name="Note 3 2 2 4 2 3" xfId="12114" xr:uid="{59B53CA9-39C8-475F-8601-7A553FEF4875}"/>
    <cellStyle name="Note 3 2 2 4 3" xfId="5737" xr:uid="{00000000-0005-0000-0000-00006E210000}"/>
    <cellStyle name="Note 3 2 2 4 3 2" xfId="14184" xr:uid="{60FB0AC5-1FEC-4305-AD60-E1462426B93E}"/>
    <cellStyle name="Note 3 2 2 4 4" xfId="9969" xr:uid="{587CE172-73F1-4495-A02C-D5F12B4E8989}"/>
    <cellStyle name="Note 3 2 2 5" xfId="1844" xr:uid="{00000000-0005-0000-0000-00006F210000}"/>
    <cellStyle name="Note 3 2 2 5 2" xfId="4073" xr:uid="{00000000-0005-0000-0000-000070210000}"/>
    <cellStyle name="Note 3 2 2 5 2 2" xfId="8295" xr:uid="{00000000-0005-0000-0000-000071210000}"/>
    <cellStyle name="Note 3 2 2 5 2 2 2" xfId="16742" xr:uid="{54A72386-F639-46F2-9DAB-DBAEAD7B14AB}"/>
    <cellStyle name="Note 3 2 2 5 2 3" xfId="12527" xr:uid="{22A53663-A888-4CA5-9C62-5475D041FB0E}"/>
    <cellStyle name="Note 3 2 2 5 3" xfId="6150" xr:uid="{00000000-0005-0000-0000-000072210000}"/>
    <cellStyle name="Note 3 2 2 5 3 2" xfId="14597" xr:uid="{CB2EB11A-A2CC-4885-8E79-1A297B55467F}"/>
    <cellStyle name="Note 3 2 2 5 4" xfId="10382" xr:uid="{4AA233F2-90A7-4830-9C39-AC3FA2CD217F}"/>
    <cellStyle name="Note 3 2 2 6" xfId="2257" xr:uid="{00000000-0005-0000-0000-000073210000}"/>
    <cellStyle name="Note 3 2 2 6 2" xfId="4486" xr:uid="{00000000-0005-0000-0000-000074210000}"/>
    <cellStyle name="Note 3 2 2 6 2 2" xfId="8708" xr:uid="{00000000-0005-0000-0000-000075210000}"/>
    <cellStyle name="Note 3 2 2 6 2 2 2" xfId="17155" xr:uid="{BA3CAC65-20DC-4418-87AF-CFAA39BC5328}"/>
    <cellStyle name="Note 3 2 2 6 2 3" xfId="12940" xr:uid="{B818D821-2081-4E4A-9044-598030975369}"/>
    <cellStyle name="Note 3 2 2 6 3" xfId="6563" xr:uid="{00000000-0005-0000-0000-000076210000}"/>
    <cellStyle name="Note 3 2 2 6 3 2" xfId="15010" xr:uid="{E985B7A5-A95A-4219-B51C-6645A9B0B86C}"/>
    <cellStyle name="Note 3 2 2 6 4" xfId="10795" xr:uid="{D3B8A968-940F-4B05-823E-69C7398B6D28}"/>
    <cellStyle name="Note 3 2 2 7" xfId="2693" xr:uid="{00000000-0005-0000-0000-000077210000}"/>
    <cellStyle name="Note 3 2 2 7 2" xfId="6976" xr:uid="{00000000-0005-0000-0000-000078210000}"/>
    <cellStyle name="Note 3 2 2 7 2 2" xfId="15423" xr:uid="{DAB43908-D96E-4CEC-AB38-55F908F8DE92}"/>
    <cellStyle name="Note 3 2 2 7 3" xfId="11208" xr:uid="{DE3F09BE-1545-477D-A6D2-0D73F1CE83E6}"/>
    <cellStyle name="Note 3 2 2 8" xfId="2752" xr:uid="{00000000-0005-0000-0000-000079210000}"/>
    <cellStyle name="Note 3 2 2 9" xfId="2833" xr:uid="{00000000-0005-0000-0000-00007A210000}"/>
    <cellStyle name="Note 3 2 2 9 2" xfId="7056" xr:uid="{00000000-0005-0000-0000-00007B210000}"/>
    <cellStyle name="Note 3 2 2 9 2 2" xfId="15503" xr:uid="{85531376-81A4-4D8D-B96A-9E8B5FC00440}"/>
    <cellStyle name="Note 3 2 2 9 3" xfId="11288" xr:uid="{22230450-5573-46A5-8FC7-FE50581BBCD9}"/>
    <cellStyle name="Note 3 2 3" xfId="557" xr:uid="{00000000-0005-0000-0000-00007C210000}"/>
    <cellStyle name="Note 3 2 3 10" xfId="9145" xr:uid="{80C60DEF-0348-4461-8EEC-04097D27F4FB}"/>
    <cellStyle name="Note 3 2 3 2" xfId="1017" xr:uid="{00000000-0005-0000-0000-00007D210000}"/>
    <cellStyle name="Note 3 2 3 2 2" xfId="3249" xr:uid="{00000000-0005-0000-0000-00007E210000}"/>
    <cellStyle name="Note 3 2 3 2 2 2" xfId="7471" xr:uid="{00000000-0005-0000-0000-00007F210000}"/>
    <cellStyle name="Note 3 2 3 2 2 2 2" xfId="15918" xr:uid="{DCB03096-7F0F-45DB-B462-E6D0C6EFD07D}"/>
    <cellStyle name="Note 3 2 3 2 2 3" xfId="11703" xr:uid="{479D7970-BE0F-4521-8FA6-6C663A0E7151}"/>
    <cellStyle name="Note 3 2 3 2 3" xfId="5326" xr:uid="{00000000-0005-0000-0000-000080210000}"/>
    <cellStyle name="Note 3 2 3 2 3 2" xfId="13773" xr:uid="{FEBF557F-28A9-4BE3-9A58-E0E25DBF7D9D}"/>
    <cellStyle name="Note 3 2 3 2 4" xfId="9558" xr:uid="{CF0E7803-AB88-4A8C-B52F-D42C724B8046}"/>
    <cellStyle name="Note 3 2 3 3" xfId="1432" xr:uid="{00000000-0005-0000-0000-000081210000}"/>
    <cellStyle name="Note 3 2 3 3 2" xfId="3662" xr:uid="{00000000-0005-0000-0000-000082210000}"/>
    <cellStyle name="Note 3 2 3 3 2 2" xfId="7884" xr:uid="{00000000-0005-0000-0000-000083210000}"/>
    <cellStyle name="Note 3 2 3 3 2 2 2" xfId="16331" xr:uid="{646AECF8-FAFD-42C7-8A57-771CAE50BA6B}"/>
    <cellStyle name="Note 3 2 3 3 2 3" xfId="12116" xr:uid="{EFAC8AD1-8422-448A-AF2C-2D24B28D87F4}"/>
    <cellStyle name="Note 3 2 3 3 3" xfId="5739" xr:uid="{00000000-0005-0000-0000-000084210000}"/>
    <cellStyle name="Note 3 2 3 3 3 2" xfId="14186" xr:uid="{5A14DE17-5DB7-4037-AA4F-1C024EE78BEA}"/>
    <cellStyle name="Note 3 2 3 3 4" xfId="9971" xr:uid="{5AEE3D57-F6E8-45D1-89B7-430548529A06}"/>
    <cellStyle name="Note 3 2 3 4" xfId="1846" xr:uid="{00000000-0005-0000-0000-000085210000}"/>
    <cellStyle name="Note 3 2 3 4 2" xfId="4075" xr:uid="{00000000-0005-0000-0000-000086210000}"/>
    <cellStyle name="Note 3 2 3 4 2 2" xfId="8297" xr:uid="{00000000-0005-0000-0000-000087210000}"/>
    <cellStyle name="Note 3 2 3 4 2 2 2" xfId="16744" xr:uid="{4AE14926-2E65-4937-BEFE-6C44E2481C72}"/>
    <cellStyle name="Note 3 2 3 4 2 3" xfId="12529" xr:uid="{88C6E554-0EE4-4596-9DB8-11F94DFC2C9D}"/>
    <cellStyle name="Note 3 2 3 4 3" xfId="6152" xr:uid="{00000000-0005-0000-0000-000088210000}"/>
    <cellStyle name="Note 3 2 3 4 3 2" xfId="14599" xr:uid="{80A9AD56-70CC-4917-B79C-33C8DD73BAE9}"/>
    <cellStyle name="Note 3 2 3 4 4" xfId="10384" xr:uid="{E05D873D-DCE0-49BA-932D-EA8E38EFDB12}"/>
    <cellStyle name="Note 3 2 3 5" xfId="2259" xr:uid="{00000000-0005-0000-0000-000089210000}"/>
    <cellStyle name="Note 3 2 3 5 2" xfId="4488" xr:uid="{00000000-0005-0000-0000-00008A210000}"/>
    <cellStyle name="Note 3 2 3 5 2 2" xfId="8710" xr:uid="{00000000-0005-0000-0000-00008B210000}"/>
    <cellStyle name="Note 3 2 3 5 2 2 2" xfId="17157" xr:uid="{71A2EBC4-4A86-4A5E-8005-55477A3FAAFB}"/>
    <cellStyle name="Note 3 2 3 5 2 3" xfId="12942" xr:uid="{D447881C-CFEA-4124-9661-9AD0626A0E7F}"/>
    <cellStyle name="Note 3 2 3 5 3" xfId="6565" xr:uid="{00000000-0005-0000-0000-00008C210000}"/>
    <cellStyle name="Note 3 2 3 5 3 2" xfId="15012" xr:uid="{E5BC423E-C8FF-4AAB-B06C-3B1AE23977E6}"/>
    <cellStyle name="Note 3 2 3 5 4" xfId="10797" xr:uid="{4FB3D0A5-3EBA-4038-836A-D6B6EDFFA39F}"/>
    <cellStyle name="Note 3 2 3 6" xfId="2695" xr:uid="{00000000-0005-0000-0000-00008D210000}"/>
    <cellStyle name="Note 3 2 3 6 2" xfId="6978" xr:uid="{00000000-0005-0000-0000-00008E210000}"/>
    <cellStyle name="Note 3 2 3 6 2 2" xfId="15425" xr:uid="{B69397A6-4E6D-4EFC-BE74-FB7B0E8E5CC8}"/>
    <cellStyle name="Note 3 2 3 6 3" xfId="11210" xr:uid="{D5A07EB9-4619-4933-ACC7-5B0BC314AAA3}"/>
    <cellStyle name="Note 3 2 3 7" xfId="2754" xr:uid="{00000000-0005-0000-0000-00008F210000}"/>
    <cellStyle name="Note 3 2 3 8" xfId="2835" xr:uid="{00000000-0005-0000-0000-000090210000}"/>
    <cellStyle name="Note 3 2 3 8 2" xfId="7058" xr:uid="{00000000-0005-0000-0000-000091210000}"/>
    <cellStyle name="Note 3 2 3 8 2 2" xfId="15505" xr:uid="{2BAF05AA-A765-470B-ABF1-7DB65D721A77}"/>
    <cellStyle name="Note 3 2 3 8 3" xfId="11290" xr:uid="{D8FE6935-04A2-4322-9B2F-E93A69EE71C9}"/>
    <cellStyle name="Note 3 2 3 9" xfId="4913" xr:uid="{00000000-0005-0000-0000-000092210000}"/>
    <cellStyle name="Note 3 2 3 9 2" xfId="13360" xr:uid="{F8A5C039-E4C6-41F1-91F6-44B4D79AFEF9}"/>
    <cellStyle name="Note 3 2 4" xfId="1014" xr:uid="{00000000-0005-0000-0000-000093210000}"/>
    <cellStyle name="Note 3 2 4 2" xfId="3246" xr:uid="{00000000-0005-0000-0000-000094210000}"/>
    <cellStyle name="Note 3 2 4 2 2" xfId="7468" xr:uid="{00000000-0005-0000-0000-000095210000}"/>
    <cellStyle name="Note 3 2 4 2 2 2" xfId="15915" xr:uid="{FEC3D697-BBB6-4CA3-88C8-44E0DB3ABA65}"/>
    <cellStyle name="Note 3 2 4 2 3" xfId="11700" xr:uid="{71D4E93C-1DF8-4B1F-A077-7470FAD16943}"/>
    <cellStyle name="Note 3 2 4 3" xfId="5323" xr:uid="{00000000-0005-0000-0000-000096210000}"/>
    <cellStyle name="Note 3 2 4 3 2" xfId="13770" xr:uid="{F9A6E72E-0220-4ECC-9C2F-1E4031D2B3CE}"/>
    <cellStyle name="Note 3 2 4 4" xfId="9555" xr:uid="{17144DCB-C03C-4EE3-9680-FDAFA5300650}"/>
    <cellStyle name="Note 3 2 5" xfId="1429" xr:uid="{00000000-0005-0000-0000-000097210000}"/>
    <cellStyle name="Note 3 2 5 2" xfId="3659" xr:uid="{00000000-0005-0000-0000-000098210000}"/>
    <cellStyle name="Note 3 2 5 2 2" xfId="7881" xr:uid="{00000000-0005-0000-0000-000099210000}"/>
    <cellStyle name="Note 3 2 5 2 2 2" xfId="16328" xr:uid="{FD98B4B3-7799-4388-BD57-94FD520C29FE}"/>
    <cellStyle name="Note 3 2 5 2 3" xfId="12113" xr:uid="{EDAF7320-21B9-4E66-8564-31B63A7A9FB3}"/>
    <cellStyle name="Note 3 2 5 3" xfId="5736" xr:uid="{00000000-0005-0000-0000-00009A210000}"/>
    <cellStyle name="Note 3 2 5 3 2" xfId="14183" xr:uid="{0772A167-068F-484E-8658-0DB599E7D175}"/>
    <cellStyle name="Note 3 2 5 4" xfId="9968" xr:uid="{26EA8732-14B8-4C87-9366-A87C1691D750}"/>
    <cellStyle name="Note 3 2 6" xfId="1843" xr:uid="{00000000-0005-0000-0000-00009B210000}"/>
    <cellStyle name="Note 3 2 6 2" xfId="4072" xr:uid="{00000000-0005-0000-0000-00009C210000}"/>
    <cellStyle name="Note 3 2 6 2 2" xfId="8294" xr:uid="{00000000-0005-0000-0000-00009D210000}"/>
    <cellStyle name="Note 3 2 6 2 2 2" xfId="16741" xr:uid="{5AEE12B9-B229-4330-94F1-6D47CE7CFE07}"/>
    <cellStyle name="Note 3 2 6 2 3" xfId="12526" xr:uid="{CBA743DE-3ACB-4398-9645-E7079DBFE19E}"/>
    <cellStyle name="Note 3 2 6 3" xfId="6149" xr:uid="{00000000-0005-0000-0000-00009E210000}"/>
    <cellStyle name="Note 3 2 6 3 2" xfId="14596" xr:uid="{1425C972-A069-4610-9A3F-263DCA962A6B}"/>
    <cellStyle name="Note 3 2 6 4" xfId="10381" xr:uid="{EF1E569A-EE88-448A-8116-53BC7686D2B5}"/>
    <cellStyle name="Note 3 2 7" xfId="2256" xr:uid="{00000000-0005-0000-0000-00009F210000}"/>
    <cellStyle name="Note 3 2 7 2" xfId="4485" xr:uid="{00000000-0005-0000-0000-0000A0210000}"/>
    <cellStyle name="Note 3 2 7 2 2" xfId="8707" xr:uid="{00000000-0005-0000-0000-0000A1210000}"/>
    <cellStyle name="Note 3 2 7 2 2 2" xfId="17154" xr:uid="{992E0905-A589-46E4-BD6F-1EF446C0342A}"/>
    <cellStyle name="Note 3 2 7 2 3" xfId="12939" xr:uid="{BFAD8EDB-B077-4B12-A3D3-BD68DB068B16}"/>
    <cellStyle name="Note 3 2 7 3" xfId="6562" xr:uid="{00000000-0005-0000-0000-0000A2210000}"/>
    <cellStyle name="Note 3 2 7 3 2" xfId="15009" xr:uid="{D888EBCA-98E2-4560-B36A-FD7249479CCE}"/>
    <cellStyle name="Note 3 2 7 4" xfId="10794" xr:uid="{1317FF83-9024-442E-AB8B-582FCA66DDD2}"/>
    <cellStyle name="Note 3 2 8" xfId="2692" xr:uid="{00000000-0005-0000-0000-0000A3210000}"/>
    <cellStyle name="Note 3 2 8 2" xfId="6975" xr:uid="{00000000-0005-0000-0000-0000A4210000}"/>
    <cellStyle name="Note 3 2 8 2 2" xfId="15422" xr:uid="{26817076-BA13-458D-AAB2-AE7182267A50}"/>
    <cellStyle name="Note 3 2 8 3" xfId="11207" xr:uid="{2EC129A0-AECA-4938-8090-F300A9B30D8B}"/>
    <cellStyle name="Note 3 2 9" xfId="2751" xr:uid="{00000000-0005-0000-0000-0000A5210000}"/>
    <cellStyle name="Note 3 3" xfId="558" xr:uid="{00000000-0005-0000-0000-0000A6210000}"/>
    <cellStyle name="Note 3 3 10" xfId="4914" xr:uid="{00000000-0005-0000-0000-0000A7210000}"/>
    <cellStyle name="Note 3 3 10 2" xfId="13361" xr:uid="{0C994633-48FA-4B18-A4CB-2441D40AA0FB}"/>
    <cellStyle name="Note 3 3 11" xfId="9146" xr:uid="{1B77541D-1660-4115-B9D7-8F5350F8185C}"/>
    <cellStyle name="Note 3 3 2" xfId="559" xr:uid="{00000000-0005-0000-0000-0000A8210000}"/>
    <cellStyle name="Note 3 3 2 10" xfId="9147" xr:uid="{739A9289-53B8-47EC-8D92-81F5BB00CC3D}"/>
    <cellStyle name="Note 3 3 2 2" xfId="1019" xr:uid="{00000000-0005-0000-0000-0000A9210000}"/>
    <cellStyle name="Note 3 3 2 2 2" xfId="3251" xr:uid="{00000000-0005-0000-0000-0000AA210000}"/>
    <cellStyle name="Note 3 3 2 2 2 2" xfId="7473" xr:uid="{00000000-0005-0000-0000-0000AB210000}"/>
    <cellStyle name="Note 3 3 2 2 2 2 2" xfId="15920" xr:uid="{93304C6D-BA62-427C-A638-53B1FE42DA21}"/>
    <cellStyle name="Note 3 3 2 2 2 3" xfId="11705" xr:uid="{8A8E8867-6957-40AF-87AA-1FA9B8050B41}"/>
    <cellStyle name="Note 3 3 2 2 3" xfId="5328" xr:uid="{00000000-0005-0000-0000-0000AC210000}"/>
    <cellStyle name="Note 3 3 2 2 3 2" xfId="13775" xr:uid="{A5BED1CD-7A81-4275-8B06-C2ADD7FD6E2A}"/>
    <cellStyle name="Note 3 3 2 2 4" xfId="9560" xr:uid="{C46F9A24-7D92-452C-9539-085F2CCF96DD}"/>
    <cellStyle name="Note 3 3 2 3" xfId="1434" xr:uid="{00000000-0005-0000-0000-0000AD210000}"/>
    <cellStyle name="Note 3 3 2 3 2" xfId="3664" xr:uid="{00000000-0005-0000-0000-0000AE210000}"/>
    <cellStyle name="Note 3 3 2 3 2 2" xfId="7886" xr:uid="{00000000-0005-0000-0000-0000AF210000}"/>
    <cellStyle name="Note 3 3 2 3 2 2 2" xfId="16333" xr:uid="{8DCD7A0E-7E26-4099-BC75-303D1B2AB830}"/>
    <cellStyle name="Note 3 3 2 3 2 3" xfId="12118" xr:uid="{30E32998-E795-4738-A539-C05DE7055321}"/>
    <cellStyle name="Note 3 3 2 3 3" xfId="5741" xr:uid="{00000000-0005-0000-0000-0000B0210000}"/>
    <cellStyle name="Note 3 3 2 3 3 2" xfId="14188" xr:uid="{B04D458A-D001-4C2C-94A0-83C9F737B582}"/>
    <cellStyle name="Note 3 3 2 3 4" xfId="9973" xr:uid="{4447C164-E438-41BE-8FCB-FA4C8A77811D}"/>
    <cellStyle name="Note 3 3 2 4" xfId="1848" xr:uid="{00000000-0005-0000-0000-0000B1210000}"/>
    <cellStyle name="Note 3 3 2 4 2" xfId="4077" xr:uid="{00000000-0005-0000-0000-0000B2210000}"/>
    <cellStyle name="Note 3 3 2 4 2 2" xfId="8299" xr:uid="{00000000-0005-0000-0000-0000B3210000}"/>
    <cellStyle name="Note 3 3 2 4 2 2 2" xfId="16746" xr:uid="{99BFEB1A-3551-432D-B1BB-B04375002CA2}"/>
    <cellStyle name="Note 3 3 2 4 2 3" xfId="12531" xr:uid="{77897ED8-19BF-40A4-A4FD-E76242E952C5}"/>
    <cellStyle name="Note 3 3 2 4 3" xfId="6154" xr:uid="{00000000-0005-0000-0000-0000B4210000}"/>
    <cellStyle name="Note 3 3 2 4 3 2" xfId="14601" xr:uid="{80060018-D3D6-4F22-A1C8-FF6416317978}"/>
    <cellStyle name="Note 3 3 2 4 4" xfId="10386" xr:uid="{99A5463F-0822-41A6-949D-55B5D3B309CC}"/>
    <cellStyle name="Note 3 3 2 5" xfId="2261" xr:uid="{00000000-0005-0000-0000-0000B5210000}"/>
    <cellStyle name="Note 3 3 2 5 2" xfId="4490" xr:uid="{00000000-0005-0000-0000-0000B6210000}"/>
    <cellStyle name="Note 3 3 2 5 2 2" xfId="8712" xr:uid="{00000000-0005-0000-0000-0000B7210000}"/>
    <cellStyle name="Note 3 3 2 5 2 2 2" xfId="17159" xr:uid="{DE4649F3-33C6-4D66-A787-CD3DC069B2AF}"/>
    <cellStyle name="Note 3 3 2 5 2 3" xfId="12944" xr:uid="{9C6EE8B8-3886-4BF4-A588-CFF815FB6E46}"/>
    <cellStyle name="Note 3 3 2 5 3" xfId="6567" xr:uid="{00000000-0005-0000-0000-0000B8210000}"/>
    <cellStyle name="Note 3 3 2 5 3 2" xfId="15014" xr:uid="{0D61E815-9505-4EEF-AB97-05BAFD2BF7CC}"/>
    <cellStyle name="Note 3 3 2 5 4" xfId="10799" xr:uid="{17ECE011-F6A7-4A42-878F-E3F4261D6996}"/>
    <cellStyle name="Note 3 3 2 6" xfId="2697" xr:uid="{00000000-0005-0000-0000-0000B9210000}"/>
    <cellStyle name="Note 3 3 2 6 2" xfId="6980" xr:uid="{00000000-0005-0000-0000-0000BA210000}"/>
    <cellStyle name="Note 3 3 2 6 2 2" xfId="15427" xr:uid="{A46C2E6E-BC36-4FC5-A460-518A23C5A9CB}"/>
    <cellStyle name="Note 3 3 2 6 3" xfId="11212" xr:uid="{F5049992-EE1D-47DE-B3B4-43BB3E5B21BE}"/>
    <cellStyle name="Note 3 3 2 7" xfId="2756" xr:uid="{00000000-0005-0000-0000-0000BB210000}"/>
    <cellStyle name="Note 3 3 2 8" xfId="2837" xr:uid="{00000000-0005-0000-0000-0000BC210000}"/>
    <cellStyle name="Note 3 3 2 8 2" xfId="7060" xr:uid="{00000000-0005-0000-0000-0000BD210000}"/>
    <cellStyle name="Note 3 3 2 8 2 2" xfId="15507" xr:uid="{3E8ED779-EFE1-4637-BFB6-C45DE9C1A621}"/>
    <cellStyle name="Note 3 3 2 8 3" xfId="11292" xr:uid="{133BADCB-966E-4A9A-9291-DFB0F91C42EB}"/>
    <cellStyle name="Note 3 3 2 9" xfId="4915" xr:uid="{00000000-0005-0000-0000-0000BE210000}"/>
    <cellStyle name="Note 3 3 2 9 2" xfId="13362" xr:uid="{E3F29BA1-9D74-4FDD-AC00-E8742D157BCF}"/>
    <cellStyle name="Note 3 3 3" xfId="1018" xr:uid="{00000000-0005-0000-0000-0000BF210000}"/>
    <cellStyle name="Note 3 3 3 2" xfId="3250" xr:uid="{00000000-0005-0000-0000-0000C0210000}"/>
    <cellStyle name="Note 3 3 3 2 2" xfId="7472" xr:uid="{00000000-0005-0000-0000-0000C1210000}"/>
    <cellStyle name="Note 3 3 3 2 2 2" xfId="15919" xr:uid="{22C663E0-5446-44D1-A1BA-0F380E82DB0E}"/>
    <cellStyle name="Note 3 3 3 2 3" xfId="11704" xr:uid="{E95F81F7-661C-4300-93FC-47A0584413EC}"/>
    <cellStyle name="Note 3 3 3 3" xfId="5327" xr:uid="{00000000-0005-0000-0000-0000C2210000}"/>
    <cellStyle name="Note 3 3 3 3 2" xfId="13774" xr:uid="{B10EE615-EF1F-48C6-B9BD-5C2344AA72A9}"/>
    <cellStyle name="Note 3 3 3 4" xfId="9559" xr:uid="{7A7F0D04-4669-467C-A1F9-2CC43846163F}"/>
    <cellStyle name="Note 3 3 4" xfId="1433" xr:uid="{00000000-0005-0000-0000-0000C3210000}"/>
    <cellStyle name="Note 3 3 4 2" xfId="3663" xr:uid="{00000000-0005-0000-0000-0000C4210000}"/>
    <cellStyle name="Note 3 3 4 2 2" xfId="7885" xr:uid="{00000000-0005-0000-0000-0000C5210000}"/>
    <cellStyle name="Note 3 3 4 2 2 2" xfId="16332" xr:uid="{77578FD9-9A8F-4494-A79F-A0CCCF63CE30}"/>
    <cellStyle name="Note 3 3 4 2 3" xfId="12117" xr:uid="{0BD74845-0BC8-488A-8B88-859EFA70F32D}"/>
    <cellStyle name="Note 3 3 4 3" xfId="5740" xr:uid="{00000000-0005-0000-0000-0000C6210000}"/>
    <cellStyle name="Note 3 3 4 3 2" xfId="14187" xr:uid="{9FC626EC-A10D-416E-AFFB-241C4A4179F0}"/>
    <cellStyle name="Note 3 3 4 4" xfId="9972" xr:uid="{FC2B9515-71E0-461D-A81D-C50FC24254CF}"/>
    <cellStyle name="Note 3 3 5" xfId="1847" xr:uid="{00000000-0005-0000-0000-0000C7210000}"/>
    <cellStyle name="Note 3 3 5 2" xfId="4076" xr:uid="{00000000-0005-0000-0000-0000C8210000}"/>
    <cellStyle name="Note 3 3 5 2 2" xfId="8298" xr:uid="{00000000-0005-0000-0000-0000C9210000}"/>
    <cellStyle name="Note 3 3 5 2 2 2" xfId="16745" xr:uid="{F91F7A0C-70D2-4720-B14B-6DE15FC6850E}"/>
    <cellStyle name="Note 3 3 5 2 3" xfId="12530" xr:uid="{CF17454C-B2ED-4032-92D0-CD4026026C9E}"/>
    <cellStyle name="Note 3 3 5 3" xfId="6153" xr:uid="{00000000-0005-0000-0000-0000CA210000}"/>
    <cellStyle name="Note 3 3 5 3 2" xfId="14600" xr:uid="{89BE2AC9-B33A-4ACB-AFB5-AC00B3E8824E}"/>
    <cellStyle name="Note 3 3 5 4" xfId="10385" xr:uid="{D2CDDEA2-A2A9-41DA-9C00-9914EBEE81A4}"/>
    <cellStyle name="Note 3 3 6" xfId="2260" xr:uid="{00000000-0005-0000-0000-0000CB210000}"/>
    <cellStyle name="Note 3 3 6 2" xfId="4489" xr:uid="{00000000-0005-0000-0000-0000CC210000}"/>
    <cellStyle name="Note 3 3 6 2 2" xfId="8711" xr:uid="{00000000-0005-0000-0000-0000CD210000}"/>
    <cellStyle name="Note 3 3 6 2 2 2" xfId="17158" xr:uid="{AFEC34B0-0574-4DD3-A5EE-92E21CA0DD95}"/>
    <cellStyle name="Note 3 3 6 2 3" xfId="12943" xr:uid="{616734A9-259B-4456-BA03-123861E58656}"/>
    <cellStyle name="Note 3 3 6 3" xfId="6566" xr:uid="{00000000-0005-0000-0000-0000CE210000}"/>
    <cellStyle name="Note 3 3 6 3 2" xfId="15013" xr:uid="{E94829CC-14AF-423B-B5FE-A7BCABFE9251}"/>
    <cellStyle name="Note 3 3 6 4" xfId="10798" xr:uid="{73C51B44-3F01-4748-A29E-6007DD8BB634}"/>
    <cellStyle name="Note 3 3 7" xfId="2696" xr:uid="{00000000-0005-0000-0000-0000CF210000}"/>
    <cellStyle name="Note 3 3 7 2" xfId="6979" xr:uid="{00000000-0005-0000-0000-0000D0210000}"/>
    <cellStyle name="Note 3 3 7 2 2" xfId="15426" xr:uid="{E9874A11-42B8-4D1C-905E-63650C82F0CA}"/>
    <cellStyle name="Note 3 3 7 3" xfId="11211" xr:uid="{576605FE-C759-4A75-AE81-BF28B767693E}"/>
    <cellStyle name="Note 3 3 8" xfId="2755" xr:uid="{00000000-0005-0000-0000-0000D1210000}"/>
    <cellStyle name="Note 3 3 9" xfId="2836" xr:uid="{00000000-0005-0000-0000-0000D2210000}"/>
    <cellStyle name="Note 3 3 9 2" xfId="7059" xr:uid="{00000000-0005-0000-0000-0000D3210000}"/>
    <cellStyle name="Note 3 3 9 2 2" xfId="15506" xr:uid="{45382B67-B68F-4D9F-BE64-07C83C7E2CB7}"/>
    <cellStyle name="Note 3 3 9 3" xfId="11291" xr:uid="{01DCF10A-E84A-49CB-B0F0-E2836A5B1DFC}"/>
    <cellStyle name="Note 3 4" xfId="560" xr:uid="{00000000-0005-0000-0000-0000D4210000}"/>
    <cellStyle name="Note 3 4 10" xfId="9148" xr:uid="{A7A08120-0122-4D34-AE2E-E710713511F1}"/>
    <cellStyle name="Note 3 4 2" xfId="1020" xr:uid="{00000000-0005-0000-0000-0000D5210000}"/>
    <cellStyle name="Note 3 4 2 2" xfId="3252" xr:uid="{00000000-0005-0000-0000-0000D6210000}"/>
    <cellStyle name="Note 3 4 2 2 2" xfId="7474" xr:uid="{00000000-0005-0000-0000-0000D7210000}"/>
    <cellStyle name="Note 3 4 2 2 2 2" xfId="15921" xr:uid="{047C6EB3-0481-46D9-9B0B-7801A93F3A85}"/>
    <cellStyle name="Note 3 4 2 2 3" xfId="11706" xr:uid="{CEB6F1FF-63C9-4F85-A67B-245202C71A51}"/>
    <cellStyle name="Note 3 4 2 3" xfId="5329" xr:uid="{00000000-0005-0000-0000-0000D8210000}"/>
    <cellStyle name="Note 3 4 2 3 2" xfId="13776" xr:uid="{193337DC-0FD2-421C-8F4E-1D5323A5B863}"/>
    <cellStyle name="Note 3 4 2 4" xfId="9561" xr:uid="{853604C8-9EA4-4D8F-ABE4-6BB1D1FCE327}"/>
    <cellStyle name="Note 3 4 3" xfId="1435" xr:uid="{00000000-0005-0000-0000-0000D9210000}"/>
    <cellStyle name="Note 3 4 3 2" xfId="3665" xr:uid="{00000000-0005-0000-0000-0000DA210000}"/>
    <cellStyle name="Note 3 4 3 2 2" xfId="7887" xr:uid="{00000000-0005-0000-0000-0000DB210000}"/>
    <cellStyle name="Note 3 4 3 2 2 2" xfId="16334" xr:uid="{5B861FBD-ECC9-47C5-A6E3-C1853F7CE86E}"/>
    <cellStyle name="Note 3 4 3 2 3" xfId="12119" xr:uid="{2EE51D26-225D-4846-A798-3DCE56A840C9}"/>
    <cellStyle name="Note 3 4 3 3" xfId="5742" xr:uid="{00000000-0005-0000-0000-0000DC210000}"/>
    <cellStyle name="Note 3 4 3 3 2" xfId="14189" xr:uid="{B51887D7-E23E-4C53-8F29-CAE03918496F}"/>
    <cellStyle name="Note 3 4 3 4" xfId="9974" xr:uid="{9250FD62-11BD-48C4-B517-478B8C1D70D5}"/>
    <cellStyle name="Note 3 4 4" xfId="1849" xr:uid="{00000000-0005-0000-0000-0000DD210000}"/>
    <cellStyle name="Note 3 4 4 2" xfId="4078" xr:uid="{00000000-0005-0000-0000-0000DE210000}"/>
    <cellStyle name="Note 3 4 4 2 2" xfId="8300" xr:uid="{00000000-0005-0000-0000-0000DF210000}"/>
    <cellStyle name="Note 3 4 4 2 2 2" xfId="16747" xr:uid="{D5D51CC8-AACF-48B1-BF0A-0D704D865D8B}"/>
    <cellStyle name="Note 3 4 4 2 3" xfId="12532" xr:uid="{22E5ECD2-22BC-422B-9A18-BC0911978514}"/>
    <cellStyle name="Note 3 4 4 3" xfId="6155" xr:uid="{00000000-0005-0000-0000-0000E0210000}"/>
    <cellStyle name="Note 3 4 4 3 2" xfId="14602" xr:uid="{30BCD5C5-5E5B-414E-B8CE-AE7036E28497}"/>
    <cellStyle name="Note 3 4 4 4" xfId="10387" xr:uid="{BE42E52C-B766-4FDA-B826-DD739BA288F6}"/>
    <cellStyle name="Note 3 4 5" xfId="2262" xr:uid="{00000000-0005-0000-0000-0000E1210000}"/>
    <cellStyle name="Note 3 4 5 2" xfId="4491" xr:uid="{00000000-0005-0000-0000-0000E2210000}"/>
    <cellStyle name="Note 3 4 5 2 2" xfId="8713" xr:uid="{00000000-0005-0000-0000-0000E3210000}"/>
    <cellStyle name="Note 3 4 5 2 2 2" xfId="17160" xr:uid="{8B590593-F233-4699-BC33-EEF75F3DEA20}"/>
    <cellStyle name="Note 3 4 5 2 3" xfId="12945" xr:uid="{180A6689-6A2F-4CAE-AA66-7387E1ABB831}"/>
    <cellStyle name="Note 3 4 5 3" xfId="6568" xr:uid="{00000000-0005-0000-0000-0000E4210000}"/>
    <cellStyle name="Note 3 4 5 3 2" xfId="15015" xr:uid="{1BDC5158-151B-4B9F-829A-E39BF7DC674C}"/>
    <cellStyle name="Note 3 4 5 4" xfId="10800" xr:uid="{F9566264-E7AC-4B38-B3D5-636278AFA827}"/>
    <cellStyle name="Note 3 4 6" xfId="2698" xr:uid="{00000000-0005-0000-0000-0000E5210000}"/>
    <cellStyle name="Note 3 4 6 2" xfId="6981" xr:uid="{00000000-0005-0000-0000-0000E6210000}"/>
    <cellStyle name="Note 3 4 6 2 2" xfId="15428" xr:uid="{62E3F633-B942-4622-B9D3-91C055411567}"/>
    <cellStyle name="Note 3 4 6 3" xfId="11213" xr:uid="{D43B3276-2FD8-42C8-AA20-FA66784691EB}"/>
    <cellStyle name="Note 3 4 7" xfId="2757" xr:uid="{00000000-0005-0000-0000-0000E7210000}"/>
    <cellStyle name="Note 3 4 8" xfId="2838" xr:uid="{00000000-0005-0000-0000-0000E8210000}"/>
    <cellStyle name="Note 3 4 8 2" xfId="7061" xr:uid="{00000000-0005-0000-0000-0000E9210000}"/>
    <cellStyle name="Note 3 4 8 2 2" xfId="15508" xr:uid="{FB3FBBBF-A635-47DC-B890-692D5DCA7C99}"/>
    <cellStyle name="Note 3 4 8 3" xfId="11293" xr:uid="{38419516-9CE6-40E0-B662-A31E5198A759}"/>
    <cellStyle name="Note 3 4 9" xfId="4916" xr:uid="{00000000-0005-0000-0000-0000EA210000}"/>
    <cellStyle name="Note 3 4 9 2" xfId="13363" xr:uid="{FB91BB4B-4D6B-4780-9548-1A1088E47004}"/>
    <cellStyle name="Note 3 5" xfId="561" xr:uid="{00000000-0005-0000-0000-0000EB210000}"/>
    <cellStyle name="Note 3 5 10" xfId="9149" xr:uid="{45648880-3EFA-486C-9E1A-4F6F9E5AE274}"/>
    <cellStyle name="Note 3 5 2" xfId="1021" xr:uid="{00000000-0005-0000-0000-0000EC210000}"/>
    <cellStyle name="Note 3 5 2 2" xfId="3253" xr:uid="{00000000-0005-0000-0000-0000ED210000}"/>
    <cellStyle name="Note 3 5 2 2 2" xfId="7475" xr:uid="{00000000-0005-0000-0000-0000EE210000}"/>
    <cellStyle name="Note 3 5 2 2 2 2" xfId="15922" xr:uid="{5F430984-0756-4C66-8FD9-2BD50B36E379}"/>
    <cellStyle name="Note 3 5 2 2 3" xfId="11707" xr:uid="{2533AA7A-367D-41A2-9EA1-F125CB916823}"/>
    <cellStyle name="Note 3 5 2 3" xfId="5330" xr:uid="{00000000-0005-0000-0000-0000EF210000}"/>
    <cellStyle name="Note 3 5 2 3 2" xfId="13777" xr:uid="{B78752B7-2749-4386-B12E-C06A14349E1D}"/>
    <cellStyle name="Note 3 5 2 4" xfId="9562" xr:uid="{5A376684-C6B2-45D5-B969-63449CBD4AC6}"/>
    <cellStyle name="Note 3 5 3" xfId="1436" xr:uid="{00000000-0005-0000-0000-0000F0210000}"/>
    <cellStyle name="Note 3 5 3 2" xfId="3666" xr:uid="{00000000-0005-0000-0000-0000F1210000}"/>
    <cellStyle name="Note 3 5 3 2 2" xfId="7888" xr:uid="{00000000-0005-0000-0000-0000F2210000}"/>
    <cellStyle name="Note 3 5 3 2 2 2" xfId="16335" xr:uid="{3D08B100-0B65-428A-84B2-B47A836EB913}"/>
    <cellStyle name="Note 3 5 3 2 3" xfId="12120" xr:uid="{F391BCD6-5B51-4DAB-B87E-CC76AE44A85F}"/>
    <cellStyle name="Note 3 5 3 3" xfId="5743" xr:uid="{00000000-0005-0000-0000-0000F3210000}"/>
    <cellStyle name="Note 3 5 3 3 2" xfId="14190" xr:uid="{2010A8A6-55FA-4F5F-A7AB-9E27017C50A5}"/>
    <cellStyle name="Note 3 5 3 4" xfId="9975" xr:uid="{2857748E-28D6-4735-B63A-2CCD6A3588BD}"/>
    <cellStyle name="Note 3 5 4" xfId="1850" xr:uid="{00000000-0005-0000-0000-0000F4210000}"/>
    <cellStyle name="Note 3 5 4 2" xfId="4079" xr:uid="{00000000-0005-0000-0000-0000F5210000}"/>
    <cellStyle name="Note 3 5 4 2 2" xfId="8301" xr:uid="{00000000-0005-0000-0000-0000F6210000}"/>
    <cellStyle name="Note 3 5 4 2 2 2" xfId="16748" xr:uid="{DB545C86-65EA-470A-879D-7542F106756B}"/>
    <cellStyle name="Note 3 5 4 2 3" xfId="12533" xr:uid="{2DACACA9-6A08-4DDD-A8E8-F943670C7618}"/>
    <cellStyle name="Note 3 5 4 3" xfId="6156" xr:uid="{00000000-0005-0000-0000-0000F7210000}"/>
    <cellStyle name="Note 3 5 4 3 2" xfId="14603" xr:uid="{C48BA194-B197-4125-B044-332FFA8EDB53}"/>
    <cellStyle name="Note 3 5 4 4" xfId="10388" xr:uid="{99FFB828-FD5A-4223-9ACF-BB303B7FF96D}"/>
    <cellStyle name="Note 3 5 5" xfId="2263" xr:uid="{00000000-0005-0000-0000-0000F8210000}"/>
    <cellStyle name="Note 3 5 5 2" xfId="4492" xr:uid="{00000000-0005-0000-0000-0000F9210000}"/>
    <cellStyle name="Note 3 5 5 2 2" xfId="8714" xr:uid="{00000000-0005-0000-0000-0000FA210000}"/>
    <cellStyle name="Note 3 5 5 2 2 2" xfId="17161" xr:uid="{97B61CE1-9B20-46A6-8F14-A64FEB3F7139}"/>
    <cellStyle name="Note 3 5 5 2 3" xfId="12946" xr:uid="{1420A19E-47AA-469E-81C4-73BA3F6FD29C}"/>
    <cellStyle name="Note 3 5 5 3" xfId="6569" xr:uid="{00000000-0005-0000-0000-0000FB210000}"/>
    <cellStyle name="Note 3 5 5 3 2" xfId="15016" xr:uid="{969E5432-5E08-437A-9655-898234088F59}"/>
    <cellStyle name="Note 3 5 5 4" xfId="10801" xr:uid="{A921FFBC-8E24-4FD3-8CC1-4CB6104B7387}"/>
    <cellStyle name="Note 3 5 6" xfId="2699" xr:uid="{00000000-0005-0000-0000-0000FC210000}"/>
    <cellStyle name="Note 3 5 6 2" xfId="6982" xr:uid="{00000000-0005-0000-0000-0000FD210000}"/>
    <cellStyle name="Note 3 5 6 2 2" xfId="15429" xr:uid="{24388010-0101-4476-849E-7F891BCAC24C}"/>
    <cellStyle name="Note 3 5 6 3" xfId="11214" xr:uid="{51C11ABC-6B1D-4CC9-9C60-9B93ACC195E4}"/>
    <cellStyle name="Note 3 5 7" xfId="2758" xr:uid="{00000000-0005-0000-0000-0000FE210000}"/>
    <cellStyle name="Note 3 5 8" xfId="2839" xr:uid="{00000000-0005-0000-0000-0000FF210000}"/>
    <cellStyle name="Note 3 5 8 2" xfId="7062" xr:uid="{00000000-0005-0000-0000-000000220000}"/>
    <cellStyle name="Note 3 5 8 2 2" xfId="15509" xr:uid="{B831BE2F-56F8-4AC7-9188-549B33D43CA5}"/>
    <cellStyle name="Note 3 5 8 3" xfId="11294" xr:uid="{CCFC5E22-5AAD-496B-A6E5-399F77DF4775}"/>
    <cellStyle name="Note 3 5 9" xfId="4917" xr:uid="{00000000-0005-0000-0000-000001220000}"/>
    <cellStyle name="Note 3 5 9 2" xfId="13364" xr:uid="{53E56DFC-1689-402E-9FCA-B59183794D69}"/>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6BB851A1-6103-4DD6-ABF2-7958A0452AB6}"/>
    <cellStyle name="Percent 4" xfId="4502" xr:uid="{00000000-0005-0000-0000-000007220000}"/>
    <cellStyle name="Percent 4 2" xfId="8717" xr:uid="{00000000-0005-0000-0000-000008220000}"/>
    <cellStyle name="Percent 4 2 2" xfId="17164" xr:uid="{92467D70-35D0-4B1D-880F-52896C784D93}"/>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20" dataDxfId="119"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8" dataCellStyle="Normal 15">
      <calculatedColumnFormula>IFERROR(MIN(4,MATCH(Application!B718,UnitSizes,0)-1),"")</calculatedColumnFormula>
    </tableColumn>
    <tableColumn id="3" xr3:uid="{3C170205-C158-4CBB-8CF5-9AF725351349}" name="Quantity" dataDxfId="117" dataCellStyle="Normal 15">
      <calculatedColumnFormula>Application!G718</calculatedColumnFormula>
    </tableColumn>
    <tableColumn id="6" xr3:uid="{7C05B4DE-3AC1-47F3-9C25-D16553367CFA}" name="iAMI" dataDxfId="116" dataCellStyle="Percent">
      <calculatedColumnFormula>Application!AC718</calculatedColumnFormula>
    </tableColumn>
    <tableColumn id="7" xr3:uid="{2B6706B4-1A54-4104-A649-2FE0A4FF8E92}" name="AMI" dataDxfId="115" dataCellStyle="Percent">
      <calculatedColumnFormula>IF(Cdlac[[#This Row],[Quantity]]&gt;0,IF(Cdlac[[#This Row],[Federal]],30%,IF(AND(OR(NOT($G$38),$G$38=""),$G$43),40%,Cdlac[[#This Row],[iAMI]])),"")</calculatedColumnFormula>
    </tableColumn>
    <tableColumn id="8" xr3:uid="{A8EB42BE-4789-45EE-A11C-67C20CB0D91B}" name="Restricted Rent" dataDxfId="114" dataCellStyle="Normal 15">
      <calculatedColumnFormula array="1">IF(Cdlac[[#This Row],[Quantity]]&gt;0,INDEX(TcacRents,$P$18,Cdlac[[#This Row],[Bedrooms]]+1)*Cdlac[[#This Row],[AMI]],"")</calculatedColumnFormula>
    </tableColumn>
    <tableColumn id="1" xr3:uid="{DB79DEA5-8C58-4800-B67F-14CBEB0E0B62}" name="Preservation Rent" dataDxfId="113" dataCellStyle="Normal 15"/>
    <tableColumn id="9" xr3:uid="{E7AC364D-B07B-4A38-B74E-DAE64921E290}" name="Fair Market Rent" dataDxfId="112" dataCellStyle="Normal 15">
      <calculatedColumnFormula array="1">IF(Cdlac[[#This Row],[Quantity]]&gt;0,INDEX(HudFmrs,$P$18,Cdlac[[#This Row],[Bedrooms]]+1),"")</calculatedColumnFormula>
    </tableColumn>
    <tableColumn id="10" xr3:uid="{630C504C-0251-4207-88FB-451973BE380A}" name="Delta" dataDxfId="111"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0" dataCellStyle="Normal 15">
      <calculatedColumnFormula>IF(Cdlac[[#This Row],[Quantity]]&gt;0,AND(Application!AK718&lt;&gt;"N/A",Application!AK718&lt;&gt;"")*Cdlac[[#This Row],[Quantity]],"")</calculatedColumnFormula>
    </tableColumn>
    <tableColumn id="4" xr3:uid="{5D52F6BE-992B-4621-8785-ED1E8B62A78F}" name="Federal" dataDxfId="109"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08" dataDxfId="107" headerRowCellStyle="Normal 16 3" dataCellStyle="Normal 16 3">
  <autoFilter ref="BM8:BM13" xr:uid="{EC5E3245-E94C-4732-9264-A1FF7840F5A2}"/>
  <tableColumns count="1">
    <tableColumn id="1" xr3:uid="{E87F798D-9094-4F6E-94EB-ABEE95220A01}" name="Construction Type" dataDxfId="10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82" workbookViewId="0">
      <selection sqref="A1:AL2"/>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1269" t="s">
        <v>550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8"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59" t="s">
        <v>2036</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05" customHeight="1">
      <c r="A11" s="205"/>
      <c r="B11" s="205"/>
      <c r="C11" s="206"/>
      <c r="D11" s="1259" t="s">
        <v>2037</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59" t="s">
        <v>2607</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2"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c r="A18" s="205"/>
      <c r="B18" s="205"/>
      <c r="C18" s="206"/>
      <c r="D18" s="520" t="s">
        <v>2606</v>
      </c>
      <c r="E18" s="442"/>
      <c r="G18" s="442"/>
      <c r="H18" s="442"/>
      <c r="I18" s="442"/>
      <c r="J18" s="1272" t="s">
        <v>2605</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59" t="s">
        <v>2038</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2"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59" t="s">
        <v>2039</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c r="A31" s="205"/>
      <c r="B31" s="205"/>
      <c r="C31" s="206"/>
      <c r="D31" s="456"/>
      <c r="E31" s="1260" t="s">
        <v>2521</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c r="A32" s="4"/>
      <c r="C32" s="2"/>
    </row>
    <row r="33" spans="1:38">
      <c r="A33" s="4"/>
      <c r="D33" s="1271" t="s">
        <v>2143</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66" t="s">
        <v>2046</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0"/>
      <c r="E36" s="1266" t="s">
        <v>2047</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2" customHeight="1">
      <c r="A40" s="4"/>
      <c r="B40"/>
      <c r="C40" s="2"/>
      <c r="D40" s="4"/>
      <c r="E40" s="4" t="s">
        <v>653</v>
      </c>
      <c r="F40" s="1259" t="s">
        <v>1164</v>
      </c>
    </row>
    <row r="41" spans="1:38" s="1259" customFormat="1" ht="13.2"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347</v>
      </c>
      <c r="F43" s="1265" t="s">
        <v>1246</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2"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59" t="s">
        <v>2041</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2"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59" t="s">
        <v>1166</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2" customHeight="1">
      <c r="A67" s="4"/>
      <c r="C67" s="2"/>
      <c r="D67" s="4"/>
      <c r="E67" s="4"/>
      <c r="F67" t="s">
        <v>509</v>
      </c>
      <c r="G67" s="1259" t="s">
        <v>1167</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59" t="s">
        <v>1168</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c r="A72" s="4"/>
      <c r="C72" s="2"/>
      <c r="D72" s="4"/>
      <c r="E72" s="4"/>
      <c r="F72" s="8" t="s">
        <v>509</v>
      </c>
      <c r="G72" s="1259" t="s">
        <v>1169</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9" t="s">
        <v>1170</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9" t="s">
        <v>1171</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2" t="s">
        <v>1172</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9" t="s">
        <v>1173</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59" t="s">
        <v>1174</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c r="A98" s="4"/>
      <c r="D98" s="99"/>
      <c r="E98" s="1263" t="s">
        <v>1175</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59" t="s">
        <v>1176</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59" t="s">
        <v>1155</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59" t="s">
        <v>1237</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c r="B350" s="2"/>
      <c r="E350" s="3" t="s">
        <v>113</v>
      </c>
      <c r="F350" s="1259" t="s">
        <v>1236</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c r="A367"/>
      <c r="B367" s="2"/>
      <c r="C367"/>
      <c r="D367"/>
      <c r="E367" s="1265" t="s">
        <v>1258</v>
      </c>
    </row>
    <row r="368" spans="1:38" s="1268"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9" t="s">
        <v>1269</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2" workbookViewId="0">
      <selection activeCell="F7" sqref="F7"/>
    </sheetView>
  </sheetViews>
  <sheetFormatPr defaultColWidth="9.21875" defaultRowHeight="13.8" zeroHeight="1"/>
  <cols>
    <col min="1" max="2" width="15.77734375" style="305" customWidth="1"/>
    <col min="3" max="3" width="11" style="305" customWidth="1"/>
    <col min="4" max="4" width="15.77734375" style="305" customWidth="1"/>
    <col min="5" max="5" width="3.77734375" style="305" customWidth="1"/>
    <col min="6" max="7" width="15.77734375" style="305" customWidth="1"/>
    <col min="8" max="8" width="3.77734375" style="305" customWidth="1"/>
    <col min="9" max="10" width="15.77734375" style="305" customWidth="1"/>
    <col min="11" max="11" width="3.21875" style="305" customWidth="1"/>
    <col min="12" max="17" width="15.77734375" style="305" customWidth="1"/>
    <col min="18" max="16384" width="9.21875" style="305"/>
  </cols>
  <sheetData>
    <row r="1" spans="1:12">
      <c r="A1" s="2231" t="s">
        <v>909</v>
      </c>
      <c r="B1" s="2231"/>
      <c r="C1" s="2231"/>
      <c r="D1" s="2231"/>
      <c r="E1" s="2231"/>
      <c r="F1" s="2231"/>
      <c r="G1" s="2231"/>
      <c r="H1" s="2231"/>
      <c r="I1" s="2231"/>
      <c r="J1" s="2231"/>
      <c r="K1" s="205"/>
      <c r="L1" s="205"/>
    </row>
    <row r="2" spans="1:12">
      <c r="A2" s="211"/>
      <c r="B2" s="211"/>
      <c r="C2" s="211"/>
      <c r="D2" s="211"/>
      <c r="E2" s="211"/>
      <c r="F2" s="211"/>
      <c r="G2" s="211"/>
      <c r="H2" s="211"/>
      <c r="I2" s="211"/>
      <c r="J2" s="211"/>
    </row>
    <row r="3" spans="1:12" ht="83.4">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10</v>
      </c>
      <c r="C4" s="1164" t="s">
        <v>384</v>
      </c>
      <c r="D4" s="429">
        <f>Application!O718</f>
        <v>885</v>
      </c>
      <c r="E4" s="430"/>
      <c r="F4" s="1085">
        <v>1970</v>
      </c>
      <c r="G4" s="429">
        <f>F4*B4</f>
        <v>19700</v>
      </c>
      <c r="H4" s="430"/>
      <c r="I4" s="429">
        <f t="shared" ref="I4:I27" si="0">IF(F4=0,"",(F4-D4))</f>
        <v>1085</v>
      </c>
      <c r="J4" s="429">
        <f t="shared" ref="J4:J27" si="1">IF(F4=0,"",(I4*B4))</f>
        <v>10850</v>
      </c>
      <c r="K4" s="205"/>
      <c r="L4" s="306"/>
    </row>
    <row r="5" spans="1:12">
      <c r="A5" s="429" t="str">
        <f>Application!B719</f>
        <v>1 Bedroom</v>
      </c>
      <c r="B5" s="1084">
        <f>Application!G719</f>
        <v>43</v>
      </c>
      <c r="C5" s="1164" t="s">
        <v>384</v>
      </c>
      <c r="D5" s="429">
        <f>Application!O719</f>
        <v>1275</v>
      </c>
      <c r="E5" s="430"/>
      <c r="F5" s="1085">
        <v>1970</v>
      </c>
      <c r="G5" s="429">
        <f t="shared" ref="G5:G38" si="2">F5*B5</f>
        <v>84710</v>
      </c>
      <c r="H5" s="430"/>
      <c r="I5" s="429">
        <f t="shared" si="0"/>
        <v>695</v>
      </c>
      <c r="J5" s="429">
        <f t="shared" si="1"/>
        <v>29885</v>
      </c>
      <c r="K5" s="205"/>
      <c r="L5" s="306"/>
    </row>
    <row r="6" spans="1:12">
      <c r="A6" s="429" t="str">
        <f>Application!B720</f>
        <v>1 Bedroom</v>
      </c>
      <c r="B6" s="1084">
        <f>Application!G720</f>
        <v>10</v>
      </c>
      <c r="C6" s="1164" t="s">
        <v>384</v>
      </c>
      <c r="D6" s="429">
        <f>Application!O720</f>
        <v>1535</v>
      </c>
      <c r="E6" s="430"/>
      <c r="F6" s="1085">
        <v>1970</v>
      </c>
      <c r="G6" s="429">
        <f t="shared" si="2"/>
        <v>19700</v>
      </c>
      <c r="H6" s="430"/>
      <c r="I6" s="429">
        <f t="shared" si="0"/>
        <v>435</v>
      </c>
      <c r="J6" s="429">
        <f t="shared" si="1"/>
        <v>4350</v>
      </c>
      <c r="K6" s="205"/>
      <c r="L6" s="306"/>
    </row>
    <row r="7" spans="1:12">
      <c r="A7" s="429">
        <f>Application!B721</f>
        <v>0</v>
      </c>
      <c r="B7" s="1084">
        <f>Application!G721</f>
        <v>0</v>
      </c>
      <c r="C7" s="1164"/>
      <c r="D7" s="429">
        <f>Application!O721</f>
        <v>0</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79025</v>
      </c>
      <c r="E40" s="430"/>
      <c r="F40" s="430"/>
      <c r="G40" s="433">
        <f>SUM(G4:G38)*12</f>
        <v>1489320</v>
      </c>
      <c r="H40" s="434"/>
      <c r="I40" s="432"/>
      <c r="J40" s="433">
        <f>SUM(J4:J38)*12</f>
        <v>541020</v>
      </c>
      <c r="K40" s="205"/>
      <c r="L40" s="307"/>
    </row>
    <row r="41" spans="1:12">
      <c r="A41" s="431"/>
      <c r="B41" s="432"/>
      <c r="C41" s="432"/>
      <c r="D41" s="434"/>
      <c r="E41" s="430"/>
      <c r="F41" s="430"/>
      <c r="G41" s="434"/>
      <c r="H41" s="434"/>
      <c r="I41" s="432"/>
      <c r="J41" s="434"/>
      <c r="K41" s="205"/>
      <c r="L41" s="307"/>
    </row>
    <row r="42" spans="1:12">
      <c r="A42" s="305" t="s">
        <v>2260</v>
      </c>
    </row>
    <row r="43" spans="1:12">
      <c r="A43" s="2232" t="s">
        <v>2499</v>
      </c>
      <c r="B43" s="2232"/>
      <c r="C43" s="2232"/>
      <c r="D43" s="2232"/>
      <c r="E43" s="2232"/>
      <c r="F43" s="2232"/>
      <c r="G43" s="2232"/>
      <c r="H43" s="2232"/>
      <c r="I43" s="2232"/>
      <c r="J43" s="2232"/>
    </row>
    <row r="44" spans="1:12">
      <c r="A44" s="2232"/>
      <c r="B44" s="2232"/>
      <c r="C44" s="2232"/>
      <c r="D44" s="2232"/>
      <c r="E44" s="2232"/>
      <c r="F44" s="2232"/>
      <c r="G44" s="2232"/>
      <c r="H44" s="2232"/>
      <c r="I44" s="2232"/>
      <c r="J44" s="2232"/>
    </row>
    <row r="45" spans="1:12">
      <c r="A45" s="2232" t="s">
        <v>2261</v>
      </c>
      <c r="B45" s="2232"/>
      <c r="C45" s="2232"/>
      <c r="D45" s="2232"/>
      <c r="E45" s="2232"/>
      <c r="F45" s="2232"/>
      <c r="G45" s="2232"/>
      <c r="H45" s="2232"/>
      <c r="I45" s="2232"/>
      <c r="J45" s="2232"/>
    </row>
    <row r="46" spans="1:12">
      <c r="A46" s="2232"/>
      <c r="B46" s="2232"/>
      <c r="C46" s="2232"/>
      <c r="D46" s="2232"/>
      <c r="E46" s="2232"/>
      <c r="F46" s="2232"/>
      <c r="G46" s="2232"/>
      <c r="H46" s="2232"/>
      <c r="I46" s="2232"/>
      <c r="J46" s="223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workbookViewId="0">
      <selection activeCell="C33" sqref="C33"/>
    </sheetView>
  </sheetViews>
  <sheetFormatPr defaultColWidth="0" defaultRowHeight="13.2" zeroHeight="1"/>
  <cols>
    <col min="1" max="1" width="3.77734375" customWidth="1"/>
    <col min="2" max="2" width="30.5546875" customWidth="1"/>
    <col min="3" max="3" width="9.21875" style="215"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212" t="s">
        <v>2095</v>
      </c>
      <c r="B1" s="212"/>
    </row>
    <row r="2" spans="1:34"/>
    <row r="3" spans="1:34" ht="15.6">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3.8">
      <c r="A4" s="220" t="s">
        <v>837</v>
      </c>
      <c r="C4" s="238">
        <v>1.0249999999999999</v>
      </c>
      <c r="E4" s="220">
        <f>Application!Y801</f>
        <v>948300</v>
      </c>
      <c r="G4" s="220">
        <f>E4*$C$4</f>
        <v>972007.49999999988</v>
      </c>
      <c r="I4" s="220">
        <f>G4*$C$4</f>
        <v>996307.68749999977</v>
      </c>
      <c r="K4" s="220">
        <f>I4*$C$4</f>
        <v>1021215.3796874997</v>
      </c>
      <c r="M4" s="220">
        <f>K4*$C$4</f>
        <v>1046745.7641796871</v>
      </c>
      <c r="O4" s="220">
        <f>M4*$C$4</f>
        <v>1072914.4082841792</v>
      </c>
      <c r="Q4" s="220">
        <f>O4*$C$4</f>
        <v>1099737.2684912835</v>
      </c>
      <c r="S4" s="220">
        <f>Q4*$C$4</f>
        <v>1127230.7002035654</v>
      </c>
      <c r="U4" s="220">
        <f>S4*$C$4</f>
        <v>1155411.4677086545</v>
      </c>
      <c r="W4" s="220">
        <f>U4*$C$4</f>
        <v>1184296.7544013707</v>
      </c>
      <c r="Y4" s="220">
        <f>W4*$C$4</f>
        <v>1213904.1732614047</v>
      </c>
      <c r="AA4" s="220">
        <f>Y4*$C$4</f>
        <v>1244251.7775929398</v>
      </c>
      <c r="AC4" s="220">
        <f>AA4*$C$4</f>
        <v>1275358.0720327632</v>
      </c>
      <c r="AE4" s="220">
        <f>AC4*$C$4</f>
        <v>1307242.0238335822</v>
      </c>
      <c r="AG4" s="220">
        <f>AE4*$C$4</f>
        <v>1339923.0744294217</v>
      </c>
    </row>
    <row r="5" spans="1:34" s="211" customFormat="1" ht="13.8">
      <c r="B5" s="211" t="s">
        <v>838</v>
      </c>
      <c r="C5" s="239">
        <f>IF(Application!$D$211="Special Needs",(((0.1*Application!$T$212)+(0.05*(1-Application!$T$212)))),0.05)</f>
        <v>0.05</v>
      </c>
      <c r="E5" s="222">
        <f>-E4*$C$5</f>
        <v>-47415</v>
      </c>
      <c r="F5" s="222"/>
      <c r="G5" s="222">
        <f>-G4*$C$5</f>
        <v>-48600.375</v>
      </c>
      <c r="H5" s="222"/>
      <c r="I5" s="222">
        <f>-I4*$C$5</f>
        <v>-49815.384374999994</v>
      </c>
      <c r="J5" s="222"/>
      <c r="K5" s="222">
        <f>-K4*$C$5</f>
        <v>-51060.76898437499</v>
      </c>
      <c r="L5" s="222"/>
      <c r="M5" s="222">
        <f>-M4*$C$5</f>
        <v>-52337.288208984362</v>
      </c>
      <c r="N5" s="222"/>
      <c r="O5" s="222">
        <f>-O4*$C$5</f>
        <v>-53645.720414208961</v>
      </c>
      <c r="P5" s="222"/>
      <c r="Q5" s="222">
        <f>-Q4*$C$5</f>
        <v>-54986.863424564181</v>
      </c>
      <c r="R5" s="222"/>
      <c r="S5" s="222">
        <f>-S4*$C$5</f>
        <v>-56361.535010178275</v>
      </c>
      <c r="T5" s="222"/>
      <c r="U5" s="222">
        <f>-U4*$C$5</f>
        <v>-57770.573385432726</v>
      </c>
      <c r="V5" s="222"/>
      <c r="W5" s="222">
        <f>-W4*$C$5</f>
        <v>-59214.837720068535</v>
      </c>
      <c r="X5" s="222"/>
      <c r="Y5" s="222">
        <f>-Y4*$C$5</f>
        <v>-60695.20866307024</v>
      </c>
      <c r="Z5" s="222"/>
      <c r="AA5" s="222">
        <f>-AA4*$C$5</f>
        <v>-62212.588879646995</v>
      </c>
      <c r="AB5" s="222"/>
      <c r="AC5" s="222">
        <f>-AC4*$C$5</f>
        <v>-63767.903601638158</v>
      </c>
      <c r="AD5" s="222"/>
      <c r="AE5" s="222">
        <f>-AE4*$C$5</f>
        <v>-65362.10119167911</v>
      </c>
      <c r="AF5" s="222"/>
      <c r="AG5" s="222">
        <f>-AG4*$C$5</f>
        <v>-66996.153721471084</v>
      </c>
    </row>
    <row r="6" spans="1:34" s="211" customFormat="1" ht="13.8">
      <c r="A6" s="211" t="s">
        <v>836</v>
      </c>
      <c r="C6" s="238">
        <v>1.0249999999999999</v>
      </c>
      <c r="E6" s="223">
        <f>Application!Z809</f>
        <v>541020</v>
      </c>
      <c r="F6" s="223"/>
      <c r="G6" s="223">
        <f>E6*$C$6</f>
        <v>554545.5</v>
      </c>
      <c r="H6" s="223"/>
      <c r="I6" s="223">
        <f>G6*$C$6</f>
        <v>568409.13749999995</v>
      </c>
      <c r="J6" s="223"/>
      <c r="K6" s="223">
        <f>I6*$C$6</f>
        <v>582619.36593749991</v>
      </c>
      <c r="L6" s="223"/>
      <c r="M6" s="223">
        <f>K6*$C$6</f>
        <v>597184.8500859373</v>
      </c>
      <c r="N6" s="223"/>
      <c r="O6" s="223">
        <f>M6*$C$6</f>
        <v>612114.47133808571</v>
      </c>
      <c r="P6" s="223"/>
      <c r="Q6" s="223">
        <f>O6*$C$6</f>
        <v>627417.33312153781</v>
      </c>
      <c r="R6" s="223"/>
      <c r="S6" s="223">
        <f>Q6*$C$6</f>
        <v>643102.76644957624</v>
      </c>
      <c r="T6" s="223"/>
      <c r="U6" s="223">
        <f>S6*$C$6</f>
        <v>659180.33561081556</v>
      </c>
      <c r="V6" s="223"/>
      <c r="W6" s="223">
        <f>U6*$C$6</f>
        <v>675659.84400108585</v>
      </c>
      <c r="X6" s="223"/>
      <c r="Y6" s="223">
        <f>W6*$C$6</f>
        <v>692551.34010111296</v>
      </c>
      <c r="Z6" s="223"/>
      <c r="AA6" s="223">
        <f>Y6*$C$6</f>
        <v>709865.12360364071</v>
      </c>
      <c r="AB6" s="223"/>
      <c r="AC6" s="223">
        <f>AA6*$C$6</f>
        <v>727611.75169373164</v>
      </c>
      <c r="AD6" s="223"/>
      <c r="AE6" s="223">
        <f>AC6*$C$6</f>
        <v>745802.04548607487</v>
      </c>
      <c r="AF6" s="223"/>
      <c r="AG6" s="223">
        <f>AE6*$C$6</f>
        <v>764447.09662322665</v>
      </c>
    </row>
    <row r="7" spans="1:34" s="211" customFormat="1" ht="13.8">
      <c r="B7" s="211" t="s">
        <v>838</v>
      </c>
      <c r="C7" s="239">
        <f>IF(Application!$D$211="Special Needs",(((0.1*Application!$T$212)+(0.05*(1-Application!$T$212)))),0.05)</f>
        <v>0.05</v>
      </c>
      <c r="E7" s="222">
        <f>-E6*$C$7</f>
        <v>-27051</v>
      </c>
      <c r="F7" s="222"/>
      <c r="G7" s="222">
        <f>-G6*$C$7</f>
        <v>-27727.275000000001</v>
      </c>
      <c r="H7" s="222"/>
      <c r="I7" s="222">
        <f>-I6*$C$7</f>
        <v>-28420.456875</v>
      </c>
      <c r="J7" s="222"/>
      <c r="K7" s="222">
        <f>-K6*$C$7</f>
        <v>-29130.968296874998</v>
      </c>
      <c r="L7" s="222"/>
      <c r="M7" s="222">
        <f>-M6*$C$7</f>
        <v>-29859.242504296868</v>
      </c>
      <c r="N7" s="222"/>
      <c r="O7" s="222">
        <f>-O6*$C$7</f>
        <v>-30605.723566904286</v>
      </c>
      <c r="P7" s="222"/>
      <c r="Q7" s="222">
        <f>-Q6*$C$7</f>
        <v>-31370.866656076891</v>
      </c>
      <c r="R7" s="222"/>
      <c r="S7" s="222">
        <f>-S6*$C$7</f>
        <v>-32155.138322478815</v>
      </c>
      <c r="T7" s="222"/>
      <c r="U7" s="222">
        <f>-U6*$C$7</f>
        <v>-32959.016780540776</v>
      </c>
      <c r="V7" s="222"/>
      <c r="W7" s="222">
        <f>-W6*$C$7</f>
        <v>-33782.992200054294</v>
      </c>
      <c r="X7" s="222"/>
      <c r="Y7" s="222">
        <f>-Y6*$C$7</f>
        <v>-34627.567005055651</v>
      </c>
      <c r="Z7" s="222"/>
      <c r="AA7" s="222">
        <f>-AA6*$C$7</f>
        <v>-35493.256180182034</v>
      </c>
      <c r="AB7" s="222"/>
      <c r="AC7" s="222">
        <f>-AC6*$C$7</f>
        <v>-36380.587584686582</v>
      </c>
      <c r="AD7" s="222"/>
      <c r="AE7" s="222">
        <f>-AE6*$C$7</f>
        <v>-37290.102274303747</v>
      </c>
      <c r="AF7" s="222"/>
      <c r="AG7" s="222">
        <f>-AG6*$C$7</f>
        <v>-38222.354831161334</v>
      </c>
    </row>
    <row r="8" spans="1:34" s="211" customFormat="1" ht="13.8">
      <c r="A8" s="211" t="s">
        <v>287</v>
      </c>
      <c r="C8" s="238">
        <v>1.0249999999999999</v>
      </c>
      <c r="E8" s="223">
        <f>Application!Z817</f>
        <v>3600</v>
      </c>
      <c r="F8" s="223"/>
      <c r="G8" s="223">
        <f>E8*$C$8</f>
        <v>3689.9999999999995</v>
      </c>
      <c r="H8" s="223"/>
      <c r="I8" s="223">
        <f>G8*$C$8</f>
        <v>3782.2499999999991</v>
      </c>
      <c r="J8" s="223"/>
      <c r="K8" s="223">
        <f>I8*$C$8</f>
        <v>3876.8062499999987</v>
      </c>
      <c r="L8" s="223"/>
      <c r="M8" s="223">
        <f>K8*$C$8</f>
        <v>3973.7264062499985</v>
      </c>
      <c r="N8" s="223"/>
      <c r="O8" s="223">
        <f>M8*$C$8</f>
        <v>4073.0695664062482</v>
      </c>
      <c r="P8" s="223"/>
      <c r="Q8" s="223">
        <f>O8*$C$8</f>
        <v>4174.8963055664044</v>
      </c>
      <c r="R8" s="223"/>
      <c r="S8" s="223">
        <f>Q8*$C$8</f>
        <v>4279.2687132055644</v>
      </c>
      <c r="T8" s="223"/>
      <c r="U8" s="223">
        <f>S8*$C$8</f>
        <v>4386.2504310357035</v>
      </c>
      <c r="V8" s="223"/>
      <c r="W8" s="223">
        <f>U8*$C$8</f>
        <v>4495.9066918115959</v>
      </c>
      <c r="X8" s="223"/>
      <c r="Y8" s="223">
        <f>W8*$C$8</f>
        <v>4608.3043591068854</v>
      </c>
      <c r="Z8" s="223"/>
      <c r="AA8" s="223">
        <f>Y8*$C$8</f>
        <v>4723.5119680845573</v>
      </c>
      <c r="AB8" s="223"/>
      <c r="AC8" s="223">
        <f>AA8*$C$8</f>
        <v>4841.5997672866706</v>
      </c>
      <c r="AD8" s="223"/>
      <c r="AE8" s="223">
        <f>AC8*$C$8</f>
        <v>4962.6397614688367</v>
      </c>
      <c r="AF8" s="223"/>
      <c r="AG8" s="223">
        <f>AE8*$C$8</f>
        <v>5086.7057555055571</v>
      </c>
    </row>
    <row r="9" spans="1:34" s="211" customFormat="1" ht="13.8">
      <c r="B9" s="211" t="s">
        <v>838</v>
      </c>
      <c r="C9" s="239">
        <f>IF(Application!$D$211="Special Needs",(((0.1*Application!$T$212)+(0.05*(1-Application!$T$212)))),0.05)</f>
        <v>0.05</v>
      </c>
      <c r="E9" s="222">
        <f>-E8*$C$9</f>
        <v>-180</v>
      </c>
      <c r="F9" s="222"/>
      <c r="G9" s="222">
        <f>-G8*$C$9</f>
        <v>-184.5</v>
      </c>
      <c r="H9" s="222"/>
      <c r="I9" s="222">
        <f>-I8*$C$9</f>
        <v>-189.11249999999995</v>
      </c>
      <c r="J9" s="222"/>
      <c r="K9" s="222">
        <f>-K8*$C$9</f>
        <v>-193.84031249999995</v>
      </c>
      <c r="L9" s="222"/>
      <c r="M9" s="222">
        <f>-M8*$C$9</f>
        <v>-198.68632031249993</v>
      </c>
      <c r="N9" s="222"/>
      <c r="O9" s="222">
        <f>-O8*$C$9</f>
        <v>-203.65347832031242</v>
      </c>
      <c r="P9" s="222"/>
      <c r="Q9" s="222">
        <f>-Q8*$C$9</f>
        <v>-208.74481527832023</v>
      </c>
      <c r="R9" s="222"/>
      <c r="S9" s="222">
        <f>-S8*$C$9</f>
        <v>-213.96343566027824</v>
      </c>
      <c r="T9" s="222"/>
      <c r="U9" s="222">
        <f>-U8*$C$9</f>
        <v>-219.31252155178518</v>
      </c>
      <c r="V9" s="222"/>
      <c r="W9" s="222">
        <f>-W8*$C$9</f>
        <v>-224.79533459057981</v>
      </c>
      <c r="X9" s="222"/>
      <c r="Y9" s="222">
        <f>-Y8*$C$9</f>
        <v>-230.41521795534427</v>
      </c>
      <c r="Z9" s="222"/>
      <c r="AA9" s="222">
        <f>-AA8*$C$9</f>
        <v>-236.17559840422788</v>
      </c>
      <c r="AB9" s="222"/>
      <c r="AC9" s="222">
        <f>-AC8*$C$9</f>
        <v>-242.07998836433353</v>
      </c>
      <c r="AD9" s="222"/>
      <c r="AE9" s="222">
        <f>-AE8*$C$9</f>
        <v>-248.13198807344185</v>
      </c>
      <c r="AF9" s="222"/>
      <c r="AG9" s="222">
        <f>-AG8*$C$9</f>
        <v>-254.33528777527786</v>
      </c>
    </row>
    <row r="10" spans="1:34" s="211" customFormat="1" ht="13.8">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859</v>
      </c>
      <c r="C11" s="217"/>
      <c r="E11" s="224">
        <f>SUM(E4:E10)</f>
        <v>1418274</v>
      </c>
      <c r="G11" s="224">
        <f>SUM(G4:G10)</f>
        <v>1453730.85</v>
      </c>
      <c r="I11" s="224">
        <f>SUM(I4:I10)</f>
        <v>1490074.1212499999</v>
      </c>
      <c r="K11" s="224">
        <f>SUM(K4:K10)</f>
        <v>1527325.9742812496</v>
      </c>
      <c r="M11" s="224">
        <f>SUM(M4:M10)</f>
        <v>1565509.1236382807</v>
      </c>
      <c r="O11" s="224">
        <f>SUM(O4:O10)</f>
        <v>1604646.8517292379</v>
      </c>
      <c r="Q11" s="224">
        <f>SUM(Q4:Q10)</f>
        <v>1644763.0230224684</v>
      </c>
      <c r="S11" s="224">
        <f>SUM(S4:S10)</f>
        <v>1685882.0985980297</v>
      </c>
      <c r="U11" s="224">
        <f>SUM(U4:U10)</f>
        <v>1728029.1510629803</v>
      </c>
      <c r="W11" s="224">
        <f>SUM(W4:W10)</f>
        <v>1771229.8798395544</v>
      </c>
      <c r="Y11" s="224">
        <f>SUM(Y4:Y10)</f>
        <v>1815510.6268355432</v>
      </c>
      <c r="AA11" s="224">
        <f>SUM(AA4:AA10)</f>
        <v>1860898.392506432</v>
      </c>
      <c r="AC11" s="224">
        <f>SUM(AC4:AC10)</f>
        <v>1907420.8523190925</v>
      </c>
      <c r="AE11" s="224">
        <f>SUM(AE4:AE10)</f>
        <v>1955106.3736270696</v>
      </c>
      <c r="AG11" s="224">
        <f>SUM(AG4:AG10)</f>
        <v>2003984.032967746</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841</v>
      </c>
      <c r="C15" s="176"/>
      <c r="E15" s="220">
        <f>Application!W847</f>
        <v>173024</v>
      </c>
      <c r="G15" s="220">
        <f>E15*$C$14</f>
        <v>179079.84</v>
      </c>
      <c r="I15" s="220">
        <f>G15*$C$14</f>
        <v>185347.63439999998</v>
      </c>
      <c r="K15" s="220">
        <f>I15*$C$14</f>
        <v>191834.80160399998</v>
      </c>
      <c r="M15" s="220">
        <f>K15*$C$14</f>
        <v>198549.01966013995</v>
      </c>
      <c r="O15" s="220">
        <f>M15*$C$14</f>
        <v>205498.23534824484</v>
      </c>
      <c r="Q15" s="220">
        <f>O15*$C$14</f>
        <v>212690.6735854334</v>
      </c>
      <c r="S15" s="220">
        <f>Q15*$C$14</f>
        <v>220134.84716092356</v>
      </c>
      <c r="U15" s="220">
        <f>S15*$C$14</f>
        <v>227839.56681155585</v>
      </c>
      <c r="W15" s="220">
        <f>U15*$C$14</f>
        <v>235813.95164996028</v>
      </c>
      <c r="Y15" s="220">
        <f>W15*$C$14</f>
        <v>244067.43995770888</v>
      </c>
      <c r="AA15" s="220">
        <f>Y15*$C$14</f>
        <v>252609.80035622866</v>
      </c>
      <c r="AC15" s="220">
        <f>AA15*$C$14</f>
        <v>261451.14336869665</v>
      </c>
      <c r="AE15" s="220">
        <f>AC15*$C$14</f>
        <v>270601.93338660098</v>
      </c>
      <c r="AG15" s="220">
        <f>AE15*$C$14</f>
        <v>280073.00105513202</v>
      </c>
    </row>
    <row r="16" spans="1:34" s="211" customFormat="1" ht="13.8">
      <c r="A16" s="211" t="s">
        <v>343</v>
      </c>
      <c r="C16" s="234"/>
      <c r="E16" s="223">
        <f>Application!W849</f>
        <v>62208</v>
      </c>
      <c r="F16" s="223"/>
      <c r="G16" s="223">
        <f t="shared" ref="G16:AG21" si="0">E16*$C$14</f>
        <v>64385.279999999992</v>
      </c>
      <c r="H16" s="223"/>
      <c r="I16" s="223">
        <f t="shared" si="0"/>
        <v>66638.76479999999</v>
      </c>
      <c r="J16" s="223"/>
      <c r="K16" s="223">
        <f t="shared" si="0"/>
        <v>68971.121567999988</v>
      </c>
      <c r="L16" s="223"/>
      <c r="M16" s="223">
        <f t="shared" si="0"/>
        <v>71385.110822879986</v>
      </c>
      <c r="N16" s="223"/>
      <c r="O16" s="223">
        <f t="shared" si="0"/>
        <v>73883.589701680787</v>
      </c>
      <c r="P16" s="223"/>
      <c r="Q16" s="223">
        <f t="shared" si="0"/>
        <v>76469.515341239603</v>
      </c>
      <c r="R16" s="223"/>
      <c r="S16" s="223">
        <f t="shared" si="0"/>
        <v>79145.948378182977</v>
      </c>
      <c r="T16" s="223"/>
      <c r="U16" s="223">
        <f t="shared" si="0"/>
        <v>81916.05657141938</v>
      </c>
      <c r="V16" s="223"/>
      <c r="W16" s="223">
        <f t="shared" si="0"/>
        <v>84783.118551419058</v>
      </c>
      <c r="X16" s="223"/>
      <c r="Y16" s="223">
        <f t="shared" si="0"/>
        <v>87750.527700718725</v>
      </c>
      <c r="Z16" s="223"/>
      <c r="AA16" s="223">
        <f t="shared" si="0"/>
        <v>90821.796170243877</v>
      </c>
      <c r="AB16" s="223"/>
      <c r="AC16" s="223">
        <f t="shared" si="0"/>
        <v>94000.559036202409</v>
      </c>
      <c r="AD16" s="223"/>
      <c r="AE16" s="223">
        <f t="shared" si="0"/>
        <v>97290.578602469483</v>
      </c>
      <c r="AF16" s="223"/>
      <c r="AG16" s="223">
        <f t="shared" si="0"/>
        <v>100695.74885355591</v>
      </c>
    </row>
    <row r="17" spans="1:33" s="211" customFormat="1" ht="13.8">
      <c r="A17" s="211" t="s">
        <v>561</v>
      </c>
      <c r="C17" s="234"/>
      <c r="E17" s="223">
        <f>Application!W855</f>
        <v>98366</v>
      </c>
      <c r="F17" s="223"/>
      <c r="G17" s="223">
        <f t="shared" si="0"/>
        <v>101808.81</v>
      </c>
      <c r="H17" s="223"/>
      <c r="I17" s="223">
        <f t="shared" si="0"/>
        <v>105372.11834999999</v>
      </c>
      <c r="J17" s="223"/>
      <c r="K17" s="223">
        <f t="shared" si="0"/>
        <v>109060.14249224999</v>
      </c>
      <c r="L17" s="223"/>
      <c r="M17" s="223">
        <f t="shared" si="0"/>
        <v>112877.24747947873</v>
      </c>
      <c r="N17" s="223"/>
      <c r="O17" s="223">
        <f t="shared" si="0"/>
        <v>116827.95114126048</v>
      </c>
      <c r="P17" s="223"/>
      <c r="Q17" s="223">
        <f t="shared" si="0"/>
        <v>120916.92943120458</v>
      </c>
      <c r="R17" s="223"/>
      <c r="S17" s="223">
        <f t="shared" si="0"/>
        <v>125149.02196129673</v>
      </c>
      <c r="T17" s="223"/>
      <c r="U17" s="223">
        <f t="shared" si="0"/>
        <v>129529.23772994211</v>
      </c>
      <c r="V17" s="223"/>
      <c r="W17" s="223">
        <f t="shared" si="0"/>
        <v>134062.76105049008</v>
      </c>
      <c r="X17" s="223"/>
      <c r="Y17" s="223">
        <f t="shared" si="0"/>
        <v>138754.95768725724</v>
      </c>
      <c r="Z17" s="223"/>
      <c r="AA17" s="223">
        <f t="shared" si="0"/>
        <v>143611.38120631123</v>
      </c>
      <c r="AB17" s="223"/>
      <c r="AC17" s="223">
        <f t="shared" si="0"/>
        <v>148637.7795485321</v>
      </c>
      <c r="AD17" s="223"/>
      <c r="AE17" s="223">
        <f t="shared" si="0"/>
        <v>153840.1018327307</v>
      </c>
      <c r="AF17" s="223"/>
      <c r="AG17" s="223">
        <f t="shared" si="0"/>
        <v>159224.50539687625</v>
      </c>
    </row>
    <row r="18" spans="1:33" s="211" customFormat="1" ht="13.8">
      <c r="A18" s="211" t="s">
        <v>842</v>
      </c>
      <c r="C18" s="234"/>
      <c r="E18" s="223">
        <f>Application!W862</f>
        <v>297678</v>
      </c>
      <c r="F18" s="223"/>
      <c r="G18" s="223">
        <f t="shared" si="0"/>
        <v>308096.73</v>
      </c>
      <c r="H18" s="223"/>
      <c r="I18" s="223">
        <f t="shared" si="0"/>
        <v>318880.11554999993</v>
      </c>
      <c r="J18" s="223"/>
      <c r="K18" s="223">
        <f t="shared" si="0"/>
        <v>330040.91959424992</v>
      </c>
      <c r="L18" s="223"/>
      <c r="M18" s="223">
        <f t="shared" si="0"/>
        <v>341592.35178004863</v>
      </c>
      <c r="N18" s="223"/>
      <c r="O18" s="223">
        <f t="shared" si="0"/>
        <v>353548.08409235033</v>
      </c>
      <c r="P18" s="223"/>
      <c r="Q18" s="223">
        <f t="shared" si="0"/>
        <v>365922.26703558257</v>
      </c>
      <c r="R18" s="223"/>
      <c r="S18" s="223">
        <f t="shared" si="0"/>
        <v>378729.54638182791</v>
      </c>
      <c r="T18" s="223"/>
      <c r="U18" s="223">
        <f t="shared" si="0"/>
        <v>391985.08050519187</v>
      </c>
      <c r="V18" s="223"/>
      <c r="W18" s="223">
        <f t="shared" si="0"/>
        <v>405704.55832287355</v>
      </c>
      <c r="X18" s="223"/>
      <c r="Y18" s="223">
        <f t="shared" si="0"/>
        <v>419904.2178641741</v>
      </c>
      <c r="Z18" s="223"/>
      <c r="AA18" s="223">
        <f t="shared" si="0"/>
        <v>434600.86548942019</v>
      </c>
      <c r="AB18" s="223"/>
      <c r="AC18" s="223">
        <f t="shared" si="0"/>
        <v>449811.89578154986</v>
      </c>
      <c r="AD18" s="223"/>
      <c r="AE18" s="223">
        <f t="shared" si="0"/>
        <v>465555.31213390408</v>
      </c>
      <c r="AF18" s="223"/>
      <c r="AG18" s="223">
        <f t="shared" si="0"/>
        <v>481849.74805859069</v>
      </c>
    </row>
    <row r="19" spans="1:33" s="211" customFormat="1" ht="13.8">
      <c r="A19" s="211" t="s">
        <v>155</v>
      </c>
      <c r="C19" s="234"/>
      <c r="E19" s="223">
        <f>Application!W863</f>
        <v>42391</v>
      </c>
      <c r="F19" s="223"/>
      <c r="G19" s="223">
        <f t="shared" si="0"/>
        <v>43874.684999999998</v>
      </c>
      <c r="H19" s="223"/>
      <c r="I19" s="223">
        <f t="shared" si="0"/>
        <v>45410.298974999991</v>
      </c>
      <c r="J19" s="223"/>
      <c r="K19" s="223">
        <f t="shared" si="0"/>
        <v>46999.659439124989</v>
      </c>
      <c r="L19" s="223"/>
      <c r="M19" s="223">
        <f t="shared" si="0"/>
        <v>48644.647519494363</v>
      </c>
      <c r="N19" s="223"/>
      <c r="O19" s="223">
        <f t="shared" si="0"/>
        <v>50347.210182676659</v>
      </c>
      <c r="P19" s="223"/>
      <c r="Q19" s="223">
        <f t="shared" si="0"/>
        <v>52109.362539070338</v>
      </c>
      <c r="R19" s="223"/>
      <c r="S19" s="223">
        <f t="shared" si="0"/>
        <v>53933.190227937797</v>
      </c>
      <c r="T19" s="223"/>
      <c r="U19" s="223">
        <f t="shared" si="0"/>
        <v>55820.851885915617</v>
      </c>
      <c r="V19" s="223"/>
      <c r="W19" s="223">
        <f t="shared" si="0"/>
        <v>57774.58170192266</v>
      </c>
      <c r="X19" s="223"/>
      <c r="Y19" s="223">
        <f t="shared" si="0"/>
        <v>59796.69206148995</v>
      </c>
      <c r="Z19" s="223"/>
      <c r="AA19" s="223">
        <f t="shared" si="0"/>
        <v>61889.576283642091</v>
      </c>
      <c r="AB19" s="223"/>
      <c r="AC19" s="223">
        <f t="shared" si="0"/>
        <v>64055.711453569558</v>
      </c>
      <c r="AD19" s="223"/>
      <c r="AE19" s="223">
        <f t="shared" si="0"/>
        <v>66297.661354444484</v>
      </c>
      <c r="AF19" s="223"/>
      <c r="AG19" s="223">
        <f t="shared" si="0"/>
        <v>68618.079501850036</v>
      </c>
    </row>
    <row r="20" spans="1:33" s="211" customFormat="1" ht="13.8">
      <c r="A20" s="211" t="s">
        <v>389</v>
      </c>
      <c r="C20" s="234"/>
      <c r="E20" s="223">
        <f>Application!W872</f>
        <v>137576</v>
      </c>
      <c r="F20" s="223"/>
      <c r="G20" s="223">
        <f t="shared" si="0"/>
        <v>142391.16</v>
      </c>
      <c r="H20" s="223"/>
      <c r="I20" s="223">
        <f t="shared" si="0"/>
        <v>147374.85060000001</v>
      </c>
      <c r="J20" s="223"/>
      <c r="K20" s="223">
        <f t="shared" si="0"/>
        <v>152532.970371</v>
      </c>
      <c r="L20" s="223"/>
      <c r="M20" s="223">
        <f t="shared" si="0"/>
        <v>157871.624333985</v>
      </c>
      <c r="N20" s="223"/>
      <c r="O20" s="223">
        <f t="shared" si="0"/>
        <v>163397.13118567446</v>
      </c>
      <c r="P20" s="223"/>
      <c r="Q20" s="223">
        <f t="shared" si="0"/>
        <v>169116.03077717306</v>
      </c>
      <c r="R20" s="223"/>
      <c r="S20" s="223">
        <f t="shared" si="0"/>
        <v>175035.0918543741</v>
      </c>
      <c r="T20" s="223"/>
      <c r="U20" s="223">
        <f t="shared" si="0"/>
        <v>181161.32006927716</v>
      </c>
      <c r="V20" s="223"/>
      <c r="W20" s="223">
        <f t="shared" si="0"/>
        <v>187501.96627170185</v>
      </c>
      <c r="X20" s="223"/>
      <c r="Y20" s="223">
        <f t="shared" si="0"/>
        <v>194064.53509121141</v>
      </c>
      <c r="Z20" s="223"/>
      <c r="AA20" s="223">
        <f t="shared" si="0"/>
        <v>200856.7938194038</v>
      </c>
      <c r="AB20" s="223"/>
      <c r="AC20" s="223">
        <f t="shared" si="0"/>
        <v>207886.78160308293</v>
      </c>
      <c r="AD20" s="223"/>
      <c r="AE20" s="223">
        <f t="shared" si="0"/>
        <v>215162.8189591908</v>
      </c>
      <c r="AF20" s="223"/>
      <c r="AG20" s="223">
        <f t="shared" si="0"/>
        <v>222693.51762276248</v>
      </c>
    </row>
    <row r="21" spans="1:33" s="211" customFormat="1" ht="13.8">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3.8">
      <c r="A22" s="224" t="s">
        <v>843</v>
      </c>
      <c r="C22" s="234"/>
      <c r="E22" s="224">
        <f>SUM(E15:E21)</f>
        <v>811243</v>
      </c>
      <c r="G22" s="224">
        <f>SUM(G15:G21)</f>
        <v>839636.505</v>
      </c>
      <c r="I22" s="224">
        <f>SUM(I15:I21)</f>
        <v>869023.78267500002</v>
      </c>
      <c r="K22" s="224">
        <f>SUM(K15:K21)</f>
        <v>899439.61506862484</v>
      </c>
      <c r="M22" s="224">
        <f>SUM(M15:M21)</f>
        <v>930920.0015960267</v>
      </c>
      <c r="O22" s="224">
        <f>SUM(O15:O21)</f>
        <v>963502.2016518875</v>
      </c>
      <c r="Q22" s="224">
        <f>SUM(Q15:Q21)</f>
        <v>997224.77870970359</v>
      </c>
      <c r="S22" s="224">
        <f>SUM(S15:S21)</f>
        <v>1032127.6459645431</v>
      </c>
      <c r="U22" s="224">
        <f>SUM(U15:U21)</f>
        <v>1068252.1135733018</v>
      </c>
      <c r="W22" s="224">
        <f>SUM(W15:W21)</f>
        <v>1105640.9375483675</v>
      </c>
      <c r="Y22" s="224">
        <f>SUM(Y15:Y21)</f>
        <v>1144338.3703625603</v>
      </c>
      <c r="AA22" s="224">
        <f>SUM(AA15:AA21)</f>
        <v>1184390.2133252497</v>
      </c>
      <c r="AC22" s="224">
        <f>SUM(AC15:AC21)</f>
        <v>1225843.8707916336</v>
      </c>
      <c r="AE22" s="224">
        <f>SUM(AE15:AE21)</f>
        <v>1268748.4062693405</v>
      </c>
      <c r="AG22" s="224">
        <f>SUM(AG15:AG21)</f>
        <v>1313154.6004887675</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845</v>
      </c>
      <c r="C27" s="238">
        <v>1.0349999999999999</v>
      </c>
      <c r="E27" s="223">
        <f>Application!AC888</f>
        <v>103338</v>
      </c>
      <c r="F27" s="223"/>
      <c r="G27" s="223">
        <f>E27*$C$27</f>
        <v>106954.82999999999</v>
      </c>
      <c r="H27" s="223"/>
      <c r="I27" s="223">
        <f>G27*$C$27</f>
        <v>110698.24904999998</v>
      </c>
      <c r="J27" s="223"/>
      <c r="K27" s="223">
        <f>I27*$C$27</f>
        <v>114572.68776674998</v>
      </c>
      <c r="L27" s="223"/>
      <c r="M27" s="223">
        <f>K27*$C$27</f>
        <v>118582.73183858622</v>
      </c>
      <c r="N27" s="223"/>
      <c r="O27" s="223">
        <f>M27*$C$27</f>
        <v>122733.12745293672</v>
      </c>
      <c r="P27" s="223"/>
      <c r="Q27" s="223">
        <f>O27*$C$27</f>
        <v>127028.7869137895</v>
      </c>
      <c r="R27" s="223"/>
      <c r="S27" s="223">
        <f>Q27*$C$27</f>
        <v>131474.79445577212</v>
      </c>
      <c r="T27" s="223"/>
      <c r="U27" s="223">
        <f>S27*$C$27</f>
        <v>136076.41226172412</v>
      </c>
      <c r="V27" s="223"/>
      <c r="W27" s="223">
        <f>U27*$C$27</f>
        <v>140839.08669088446</v>
      </c>
      <c r="X27" s="223"/>
      <c r="Y27" s="223">
        <f>W27*$C$27</f>
        <v>145768.45472506541</v>
      </c>
      <c r="Z27" s="223"/>
      <c r="AA27" s="223">
        <f>Y27*$C$27</f>
        <v>150870.35064044269</v>
      </c>
      <c r="AB27" s="223"/>
      <c r="AC27" s="223">
        <f>AA27*$C$27</f>
        <v>156150.81291285818</v>
      </c>
      <c r="AD27" s="223"/>
      <c r="AE27" s="223">
        <f>AC27*$C$27</f>
        <v>161616.09136480821</v>
      </c>
      <c r="AF27" s="223"/>
      <c r="AG27" s="223">
        <f>AE27*$C$27</f>
        <v>167272.65456257647</v>
      </c>
    </row>
    <row r="28" spans="1:33" s="211" customFormat="1" ht="13.8">
      <c r="A28" s="211" t="s">
        <v>846</v>
      </c>
      <c r="C28" s="238"/>
      <c r="E28" s="223">
        <f>Application!AC889</f>
        <v>22400</v>
      </c>
      <c r="F28" s="223"/>
      <c r="G28" s="223">
        <f>$E$28</f>
        <v>22400</v>
      </c>
      <c r="H28" s="223"/>
      <c r="I28" s="223">
        <f>$E$28</f>
        <v>22400</v>
      </c>
      <c r="J28" s="223"/>
      <c r="K28" s="223">
        <f>$E$28</f>
        <v>22400</v>
      </c>
      <c r="L28" s="223"/>
      <c r="M28" s="223">
        <f>$E$28</f>
        <v>22400</v>
      </c>
      <c r="N28" s="223"/>
      <c r="O28" s="223">
        <f>$E$28</f>
        <v>22400</v>
      </c>
      <c r="P28" s="223"/>
      <c r="Q28" s="223">
        <f>$E$28</f>
        <v>22400</v>
      </c>
      <c r="R28" s="223"/>
      <c r="S28" s="223">
        <f>$E$28</f>
        <v>22400</v>
      </c>
      <c r="T28" s="223"/>
      <c r="U28" s="223">
        <f>$E$28</f>
        <v>22400</v>
      </c>
      <c r="V28" s="223"/>
      <c r="W28" s="223">
        <f>$E$28</f>
        <v>22400</v>
      </c>
      <c r="X28" s="223"/>
      <c r="Y28" s="223">
        <f>$E$28</f>
        <v>22400</v>
      </c>
      <c r="Z28" s="223"/>
      <c r="AA28" s="223">
        <f>$E$28</f>
        <v>22400</v>
      </c>
      <c r="AB28" s="223"/>
      <c r="AC28" s="223">
        <f>$E$28</f>
        <v>22400</v>
      </c>
      <c r="AD28" s="223"/>
      <c r="AE28" s="223">
        <f>$E$28</f>
        <v>22400</v>
      </c>
      <c r="AF28" s="223"/>
      <c r="AG28" s="223">
        <f>$E$28</f>
        <v>22400</v>
      </c>
    </row>
    <row r="29" spans="1:33" s="211" customFormat="1" ht="13.8">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3.8">
      <c r="A30" s="211" t="s">
        <v>844</v>
      </c>
      <c r="C30" s="238">
        <v>1.02</v>
      </c>
      <c r="E30" s="223">
        <f>Application!AC891</f>
        <v>4460</v>
      </c>
      <c r="F30" s="223"/>
      <c r="G30" s="223">
        <f>E30*$C$30</f>
        <v>4549.2</v>
      </c>
      <c r="H30" s="223"/>
      <c r="I30" s="223">
        <f>G30*$C$30</f>
        <v>4640.1840000000002</v>
      </c>
      <c r="J30" s="223"/>
      <c r="K30" s="223">
        <f>I30*$C$30</f>
        <v>4732.9876800000002</v>
      </c>
      <c r="L30" s="223"/>
      <c r="M30" s="223">
        <f>K30*$C$30</f>
        <v>4827.6474336000001</v>
      </c>
      <c r="N30" s="223"/>
      <c r="O30" s="223">
        <f>M30*$C$30</f>
        <v>4924.2003822719998</v>
      </c>
      <c r="P30" s="223"/>
      <c r="Q30" s="223">
        <f>O30*$C$30</f>
        <v>5022.6843899174401</v>
      </c>
      <c r="R30" s="223"/>
      <c r="S30" s="223">
        <f>Q30*$C$30</f>
        <v>5123.1380777157892</v>
      </c>
      <c r="T30" s="223"/>
      <c r="U30" s="223">
        <f>S30*$C$30</f>
        <v>5225.6008392701051</v>
      </c>
      <c r="V30" s="223"/>
      <c r="W30" s="223">
        <f>U30*$C$30</f>
        <v>5330.1128560555071</v>
      </c>
      <c r="X30" s="223"/>
      <c r="Y30" s="223">
        <f>W30*$C$30</f>
        <v>5436.7151131766177</v>
      </c>
      <c r="Z30" s="223"/>
      <c r="AA30" s="223">
        <f>Y30*$C$30</f>
        <v>5545.44941544015</v>
      </c>
      <c r="AB30" s="223"/>
      <c r="AC30" s="223">
        <f>AA30*$C$30</f>
        <v>5656.3584037489527</v>
      </c>
      <c r="AD30" s="223"/>
      <c r="AE30" s="223">
        <f>AC30*$C$30</f>
        <v>5769.4855718239314</v>
      </c>
      <c r="AF30" s="223"/>
      <c r="AG30" s="223">
        <f>AE30*$C$30</f>
        <v>5884.8752832604105</v>
      </c>
    </row>
    <row r="31" spans="1:33" s="211" customFormat="1" ht="13.8">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Other (Annual Issuer and Trustee Fee City of LA):</v>
      </c>
      <c r="C32" s="317">
        <v>1</v>
      </c>
      <c r="E32" s="223">
        <f>Application!AC894</f>
        <v>12265</v>
      </c>
      <c r="F32" s="223"/>
      <c r="G32" s="223">
        <f>E32*$C$32</f>
        <v>12265</v>
      </c>
      <c r="H32" s="223"/>
      <c r="I32" s="223">
        <f>G32*$C$32</f>
        <v>12265</v>
      </c>
      <c r="J32" s="223"/>
      <c r="K32" s="223">
        <f>I32*$C$32</f>
        <v>12265</v>
      </c>
      <c r="L32" s="223"/>
      <c r="M32" s="223">
        <f>K32*$C$32</f>
        <v>12265</v>
      </c>
      <c r="N32" s="223"/>
      <c r="O32" s="223">
        <f>M32*$C$32</f>
        <v>12265</v>
      </c>
      <c r="P32" s="223"/>
      <c r="Q32" s="223">
        <f>O32*$C$32</f>
        <v>12265</v>
      </c>
      <c r="R32" s="223"/>
      <c r="S32" s="223">
        <f>Q32*$C$32</f>
        <v>12265</v>
      </c>
      <c r="T32" s="223"/>
      <c r="U32" s="223">
        <f>S32*$C$32</f>
        <v>12265</v>
      </c>
      <c r="V32" s="223"/>
      <c r="W32" s="223">
        <f>U32*$C$32</f>
        <v>12265</v>
      </c>
      <c r="X32" s="223"/>
      <c r="Y32" s="223">
        <f>W32*$C$32</f>
        <v>12265</v>
      </c>
      <c r="Z32" s="223"/>
      <c r="AA32" s="223">
        <f>Y32*$C$32</f>
        <v>12265</v>
      </c>
      <c r="AB32" s="223"/>
      <c r="AC32" s="223">
        <f>AA32*$C$32</f>
        <v>12265</v>
      </c>
      <c r="AD32" s="223"/>
      <c r="AE32" s="223">
        <f>AC32*$C$32</f>
        <v>12265</v>
      </c>
      <c r="AF32" s="223"/>
      <c r="AG32" s="223">
        <f>AE32*$C$32</f>
        <v>12265</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177</v>
      </c>
      <c r="C35" s="225"/>
      <c r="E35" s="224">
        <f>SUM(E22:E33)</f>
        <v>953706</v>
      </c>
      <c r="G35" s="224">
        <f>SUM(G22:G33)</f>
        <v>985805.53499999992</v>
      </c>
      <c r="I35" s="224">
        <f>SUM(I22:I33)</f>
        <v>1019027.215725</v>
      </c>
      <c r="K35" s="224">
        <f>SUM(K22:K33)</f>
        <v>1053410.2905153749</v>
      </c>
      <c r="M35" s="224">
        <f>SUM(M22:M33)</f>
        <v>1088995.3808682128</v>
      </c>
      <c r="O35" s="224">
        <f>SUM(O22:O33)</f>
        <v>1125824.5294870962</v>
      </c>
      <c r="Q35" s="224">
        <f>SUM(Q22:Q33)</f>
        <v>1163941.2500134106</v>
      </c>
      <c r="S35" s="224">
        <f>SUM(S22:S33)</f>
        <v>1203390.578498031</v>
      </c>
      <c r="U35" s="224">
        <f>SUM(U22:U33)</f>
        <v>1244219.1266742961</v>
      </c>
      <c r="W35" s="224">
        <f>SUM(W22:W33)</f>
        <v>1286475.1370953077</v>
      </c>
      <c r="Y35" s="224">
        <f>SUM(Y22:Y33)</f>
        <v>1330208.5402008025</v>
      </c>
      <c r="AA35" s="224">
        <f>SUM(AA22:AA33)</f>
        <v>1375471.0133811326</v>
      </c>
      <c r="AC35" s="224">
        <f>SUM(AC22:AC33)</f>
        <v>1422316.0421082408</v>
      </c>
      <c r="AE35" s="224">
        <f>SUM(AE22:AE33)</f>
        <v>1470798.9832059727</v>
      </c>
      <c r="AG35" s="224">
        <f>SUM(AG22:AG33)</f>
        <v>1520977.1303346043</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847</v>
      </c>
      <c r="C37" s="225"/>
      <c r="E37" s="224">
        <f>E11-E35</f>
        <v>464568</v>
      </c>
      <c r="G37" s="224">
        <f>G11-G35</f>
        <v>467925.31500000018</v>
      </c>
      <c r="I37" s="224">
        <f>I11-I35</f>
        <v>471046.90552499983</v>
      </c>
      <c r="K37" s="224">
        <f>K11-K35</f>
        <v>473915.68376587471</v>
      </c>
      <c r="M37" s="224">
        <f>M11-M35</f>
        <v>476513.74277006788</v>
      </c>
      <c r="O37" s="224">
        <f>O11-O35</f>
        <v>478822.3222421417</v>
      </c>
      <c r="Q37" s="224">
        <f>Q11-Q35</f>
        <v>480821.77300905786</v>
      </c>
      <c r="S37" s="224">
        <f>S11-S35</f>
        <v>482491.52009999868</v>
      </c>
      <c r="U37" s="224">
        <f>U11-U35</f>
        <v>483810.02438868419</v>
      </c>
      <c r="W37" s="224">
        <f>W11-W35</f>
        <v>484754.74274424673</v>
      </c>
      <c r="Y37" s="224">
        <f>Y11-Y35</f>
        <v>485302.0866347407</v>
      </c>
      <c r="AA37" s="224">
        <f>AA11-AA35</f>
        <v>485427.3791252994</v>
      </c>
      <c r="AC37" s="224">
        <f>AC11-AC35</f>
        <v>485104.81021085172</v>
      </c>
      <c r="AE37" s="224">
        <f>AE11-AE35</f>
        <v>484307.39042109693</v>
      </c>
      <c r="AG37" s="224">
        <f>AG11-AG35</f>
        <v>483006.90263314173</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Citibank</v>
      </c>
      <c r="B40" s="227"/>
      <c r="C40" s="221"/>
      <c r="E40" s="223">
        <f>Application!AF627</f>
        <v>389715</v>
      </c>
      <c r="F40" s="223"/>
      <c r="G40" s="223">
        <f>$E$40</f>
        <v>389715</v>
      </c>
      <c r="H40" s="223"/>
      <c r="I40" s="223">
        <f>$E$40</f>
        <v>389715</v>
      </c>
      <c r="J40" s="223"/>
      <c r="K40" s="223">
        <f>$E$40</f>
        <v>389715</v>
      </c>
      <c r="L40" s="223"/>
      <c r="M40" s="223">
        <f>$E$40</f>
        <v>389715</v>
      </c>
      <c r="N40" s="223"/>
      <c r="O40" s="223">
        <f>$E$40</f>
        <v>389715</v>
      </c>
      <c r="P40" s="223"/>
      <c r="Q40" s="223">
        <f>$E$40</f>
        <v>389715</v>
      </c>
      <c r="R40" s="223"/>
      <c r="S40" s="223">
        <f>$E$40</f>
        <v>389715</v>
      </c>
      <c r="T40" s="223"/>
      <c r="U40" s="223">
        <f>$E$40</f>
        <v>389715</v>
      </c>
      <c r="V40" s="223"/>
      <c r="W40" s="223">
        <f>$E$40</f>
        <v>389715</v>
      </c>
      <c r="X40" s="223"/>
      <c r="Y40" s="223">
        <f>$E$40</f>
        <v>389715</v>
      </c>
      <c r="Z40" s="223"/>
      <c r="AA40" s="223">
        <f>$E$40</f>
        <v>389715</v>
      </c>
      <c r="AB40" s="223"/>
      <c r="AC40" s="223">
        <f>$E$40</f>
        <v>389715</v>
      </c>
      <c r="AD40" s="223"/>
      <c r="AE40" s="223">
        <f>$E$40</f>
        <v>389715</v>
      </c>
      <c r="AF40" s="223"/>
      <c r="AG40" s="223">
        <f>$E$40</f>
        <v>389715</v>
      </c>
    </row>
    <row r="41" spans="1:33" s="211" customFormat="1" ht="13.8">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848</v>
      </c>
      <c r="C43" s="225"/>
      <c r="E43" s="224">
        <f>SUM(E40:E42)</f>
        <v>389715</v>
      </c>
      <c r="G43" s="224">
        <f>SUM(G40:G42)</f>
        <v>389715</v>
      </c>
      <c r="I43" s="224">
        <f>SUM(I40:I42)</f>
        <v>389715</v>
      </c>
      <c r="K43" s="224">
        <f>SUM(K40:K42)</f>
        <v>389715</v>
      </c>
      <c r="M43" s="224">
        <f>SUM(M40:M42)</f>
        <v>389715</v>
      </c>
      <c r="O43" s="224">
        <f>SUM(O40:O42)</f>
        <v>389715</v>
      </c>
      <c r="Q43" s="224">
        <f>SUM(Q40:Q42)</f>
        <v>389715</v>
      </c>
      <c r="S43" s="224">
        <f>SUM(S40:S42)</f>
        <v>389715</v>
      </c>
      <c r="U43" s="224">
        <f>SUM(U40:U42)</f>
        <v>389715</v>
      </c>
      <c r="W43" s="224">
        <f>SUM(W40:W42)</f>
        <v>389715</v>
      </c>
      <c r="Y43" s="224">
        <f>SUM(Y40:Y42)</f>
        <v>389715</v>
      </c>
      <c r="AA43" s="224">
        <f>SUM(AA40:AA42)</f>
        <v>389715</v>
      </c>
      <c r="AC43" s="224">
        <f>SUM(AC40:AC42)</f>
        <v>389715</v>
      </c>
      <c r="AE43" s="224">
        <f>SUM(AE40:AE42)</f>
        <v>389715</v>
      </c>
      <c r="AG43" s="224">
        <f>SUM(AG40:AG42)</f>
        <v>389715</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849</v>
      </c>
      <c r="C45" s="225"/>
      <c r="E45" s="224">
        <f>E37-E43</f>
        <v>74853</v>
      </c>
      <c r="G45" s="224">
        <f>G37-G43</f>
        <v>78210.315000000177</v>
      </c>
      <c r="I45" s="224">
        <f>I37-I43</f>
        <v>81331.905524999835</v>
      </c>
      <c r="K45" s="224">
        <f>K37-K43</f>
        <v>84200.68376587471</v>
      </c>
      <c r="M45" s="224">
        <f>M37-M43</f>
        <v>86798.742770067882</v>
      </c>
      <c r="O45" s="224">
        <f>O37-O43</f>
        <v>89107.322242141701</v>
      </c>
      <c r="Q45" s="224">
        <f>Q37-Q43</f>
        <v>91106.773009057855</v>
      </c>
      <c r="S45" s="224">
        <f>S37-S43</f>
        <v>92776.520099998685</v>
      </c>
      <c r="U45" s="224">
        <f>U37-U43</f>
        <v>94095.024388684193</v>
      </c>
      <c r="W45" s="224">
        <f>W37-W43</f>
        <v>95039.742744246731</v>
      </c>
      <c r="Y45" s="224">
        <f>Y37-Y43</f>
        <v>95587.086634740699</v>
      </c>
      <c r="AA45" s="224">
        <f>AA37-AA43</f>
        <v>95712.379125299398</v>
      </c>
      <c r="AC45" s="224">
        <f>AC37-AC43</f>
        <v>95389.81021085172</v>
      </c>
      <c r="AE45" s="224">
        <f>AE37-AE43</f>
        <v>94592.390421096934</v>
      </c>
      <c r="AG45" s="224">
        <f>AG37-AG43</f>
        <v>93291.902633141726</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851</v>
      </c>
      <c r="C47" s="221"/>
      <c r="E47" s="228">
        <f>E45/(E4+E6+E8)</f>
        <v>5.013865444899928E-2</v>
      </c>
      <c r="G47" s="228">
        <f>G45/(G4+G6+G8)</f>
        <v>5.1109735512595171E-2</v>
      </c>
      <c r="I47" s="228">
        <f>I45/(I4+I6+I8)</f>
        <v>5.1853333432791374E-2</v>
      </c>
      <c r="K47" s="228">
        <f>K45/(K4+K6+K8)</f>
        <v>5.2373004142238923E-2</v>
      </c>
      <c r="M47" s="228">
        <f>M45/(M4+M6+M8)</f>
        <v>5.2672197425415353E-2</v>
      </c>
      <c r="O47" s="228">
        <f>O45/(O4+O6+O8)</f>
        <v>5.2754259318061152E-2</v>
      </c>
      <c r="Q47" s="228">
        <f>Q45/(Q4+Q6+Q8)</f>
        <v>5.2622434446243399E-2</v>
      </c>
      <c r="S47" s="228">
        <f>S45/(S4+S6+S8)</f>
        <v>5.2279868306504683E-2</v>
      </c>
      <c r="U47" s="228">
        <f>U45/(U4+U6+U8)</f>
        <v>5.1729609488510318E-2</v>
      </c>
      <c r="W47" s="228">
        <f>W45/(W4+W6+W8)</f>
        <v>5.0974611841582661E-2</v>
      </c>
      <c r="Y47" s="228">
        <f>Y45/(Y4+Y6+Y8)</f>
        <v>5.0017736586473543E-2</v>
      </c>
      <c r="AA47" s="228">
        <f>AA45/(AA4+AA6+AA8)</f>
        <v>4.8861754373684944E-2</v>
      </c>
      <c r="AC47" s="228">
        <f>AC45/(AC4+AC6+AC8)</f>
        <v>4.7509347289629647E-2</v>
      </c>
      <c r="AE47" s="228">
        <f>AE45/(AE4+AE6+AE8)</f>
        <v>4.5963110811884207E-2</v>
      </c>
      <c r="AG47" s="228">
        <f>AG45/(AG4+AG6+AG8)</f>
        <v>4.4225555714750092E-2</v>
      </c>
    </row>
    <row r="48" spans="1:33" s="228" customFormat="1" ht="13.8">
      <c r="A48" s="228" t="s">
        <v>852</v>
      </c>
      <c r="C48" s="221"/>
      <c r="E48" s="228">
        <f>E45/E43</f>
        <v>0.19207112890188985</v>
      </c>
      <c r="G48" s="228">
        <f>G45/G43</f>
        <v>0.20068592432931803</v>
      </c>
      <c r="I48" s="228">
        <f>I45/I43</f>
        <v>0.20869585601016086</v>
      </c>
      <c r="K48" s="228">
        <f>K45/K43</f>
        <v>0.21605707700723531</v>
      </c>
      <c r="M48" s="228">
        <f>M45/M43</f>
        <v>0.2227236384795758</v>
      </c>
      <c r="O48" s="228">
        <f>O45/O43</f>
        <v>0.22864740192741287</v>
      </c>
      <c r="Q48" s="228">
        <f>Q45/Q43</f>
        <v>0.23377794801087423</v>
      </c>
      <c r="S48" s="228">
        <f>S45/S43</f>
        <v>0.23806248181362966</v>
      </c>
      <c r="U48" s="228">
        <f>U45/U43</f>
        <v>0.24144573441793155</v>
      </c>
      <c r="W48" s="228">
        <f>W45/W43</f>
        <v>0.24386986065264804</v>
      </c>
      <c r="Y48" s="228">
        <f>Y45/Y43</f>
        <v>0.24527433287079198</v>
      </c>
      <c r="AA48" s="228">
        <f>AA45/AA43</f>
        <v>0.24559583060775028</v>
      </c>
      <c r="AC48" s="228">
        <f>AC45/AC43</f>
        <v>0.24476812596603087</v>
      </c>
      <c r="AE48" s="228">
        <f>AE45/AE43</f>
        <v>0.24272196456666265</v>
      </c>
      <c r="AG48" s="228">
        <f>AG45/AG43</f>
        <v>0.23938494190149653</v>
      </c>
    </row>
    <row r="49" spans="1:34" s="229" customFormat="1" ht="13.8">
      <c r="A49" s="229" t="s">
        <v>850</v>
      </c>
      <c r="C49" s="230"/>
      <c r="E49" s="229">
        <f>E37/E43</f>
        <v>1.1920711289018899</v>
      </c>
      <c r="G49" s="229">
        <f>G37/G43</f>
        <v>1.200685924329318</v>
      </c>
      <c r="I49" s="229">
        <f>I37/I43</f>
        <v>1.2086958560101608</v>
      </c>
      <c r="K49" s="229">
        <f>K37/K43</f>
        <v>1.2160570770072354</v>
      </c>
      <c r="M49" s="229">
        <f>M37/M43</f>
        <v>1.2227236384795759</v>
      </c>
      <c r="O49" s="229">
        <f>O37/O43</f>
        <v>1.228647401927413</v>
      </c>
      <c r="Q49" s="229">
        <f>Q37/Q43</f>
        <v>1.2337779480108741</v>
      </c>
      <c r="S49" s="229">
        <f>S37/S43</f>
        <v>1.2380624818136297</v>
      </c>
      <c r="U49" s="229">
        <f>U37/U43</f>
        <v>1.2414457344179315</v>
      </c>
      <c r="W49" s="229">
        <f>W37/W43</f>
        <v>1.2438698606526479</v>
      </c>
      <c r="Y49" s="229">
        <f>Y37/Y43</f>
        <v>1.245274332870792</v>
      </c>
      <c r="AA49" s="229">
        <f>AA37/AA43</f>
        <v>1.2455958306077504</v>
      </c>
      <c r="AC49" s="229">
        <f>AC37/AC43</f>
        <v>1.2447681259660308</v>
      </c>
      <c r="AE49" s="229">
        <f>AE37/AE43</f>
        <v>1.2427219645666627</v>
      </c>
      <c r="AG49" s="229">
        <f>AG37/AG43</f>
        <v>1.2393849419014966</v>
      </c>
    </row>
    <row r="50" spans="1:34"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235" t="s">
        <v>1184</v>
      </c>
      <c r="B52" s="2235"/>
      <c r="C52" s="2235"/>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v>1.05</v>
      </c>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v>5000</v>
      </c>
      <c r="F54" s="961"/>
      <c r="G54" s="961">
        <f t="shared" ref="G54:AG57" si="1">E54*$C$53</f>
        <v>5250</v>
      </c>
      <c r="H54" s="961"/>
      <c r="I54" s="961">
        <f t="shared" si="1"/>
        <v>5512.5</v>
      </c>
      <c r="J54" s="961"/>
      <c r="K54" s="961">
        <f t="shared" si="1"/>
        <v>5788.125</v>
      </c>
      <c r="L54" s="961"/>
      <c r="M54" s="961">
        <f t="shared" si="1"/>
        <v>6077.53125</v>
      </c>
      <c r="N54" s="961"/>
      <c r="O54" s="961">
        <f t="shared" si="1"/>
        <v>6381.4078125000005</v>
      </c>
      <c r="P54" s="961"/>
      <c r="Q54" s="961">
        <f t="shared" si="1"/>
        <v>6700.4782031250006</v>
      </c>
      <c r="R54" s="961"/>
      <c r="S54" s="961">
        <f t="shared" si="1"/>
        <v>7035.5021132812508</v>
      </c>
      <c r="T54" s="961"/>
      <c r="U54" s="961">
        <f t="shared" si="1"/>
        <v>7387.2772189453135</v>
      </c>
      <c r="V54" s="961"/>
      <c r="W54" s="961">
        <f t="shared" si="1"/>
        <v>7756.6410798925799</v>
      </c>
      <c r="X54" s="961"/>
      <c r="Y54" s="961">
        <f t="shared" si="1"/>
        <v>8144.4731338872089</v>
      </c>
      <c r="Z54" s="961"/>
      <c r="AA54" s="961">
        <f t="shared" si="1"/>
        <v>8551.6967905815691</v>
      </c>
      <c r="AB54" s="961"/>
      <c r="AC54" s="961">
        <f t="shared" si="1"/>
        <v>8979.2816301106486</v>
      </c>
      <c r="AD54" s="961"/>
      <c r="AE54" s="961">
        <f t="shared" si="1"/>
        <v>9428.2457116161822</v>
      </c>
      <c r="AF54" s="961"/>
      <c r="AG54" s="961">
        <f t="shared" si="1"/>
        <v>9899.6579971969913</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5000</v>
      </c>
      <c r="F58" s="961"/>
      <c r="G58" s="961">
        <f>SUM(G53:G57)</f>
        <v>5250</v>
      </c>
      <c r="H58" s="961"/>
      <c r="I58" s="961">
        <f>SUM(I53:I57)</f>
        <v>5512.5</v>
      </c>
      <c r="J58" s="961"/>
      <c r="K58" s="961">
        <f>SUM(K53:K57)</f>
        <v>5788.125</v>
      </c>
      <c r="L58" s="961"/>
      <c r="M58" s="961">
        <f>SUM(M53:M57)</f>
        <v>6077.53125</v>
      </c>
      <c r="N58" s="961"/>
      <c r="O58" s="961">
        <f>SUM(O53:O57)</f>
        <v>6381.4078125000005</v>
      </c>
      <c r="P58" s="961"/>
      <c r="Q58" s="961">
        <f>SUM(Q53:Q57)</f>
        <v>6700.4782031250006</v>
      </c>
      <c r="R58" s="961"/>
      <c r="S58" s="961">
        <f>SUM(S53:S57)</f>
        <v>7035.5021132812508</v>
      </c>
      <c r="T58" s="961"/>
      <c r="U58" s="961">
        <f>SUM(U53:U57)</f>
        <v>7387.2772189453135</v>
      </c>
      <c r="V58" s="961"/>
      <c r="W58" s="961">
        <f>SUM(W53:W57)</f>
        <v>7756.6410798925799</v>
      </c>
      <c r="X58" s="961"/>
      <c r="Y58" s="961">
        <f>SUM(Y53:Y57)</f>
        <v>8144.4731338872089</v>
      </c>
      <c r="Z58" s="961"/>
      <c r="AA58" s="961">
        <f>SUM(AA53:AA57)</f>
        <v>8551.6967905815691</v>
      </c>
      <c r="AB58" s="961"/>
      <c r="AC58" s="961">
        <f>SUM(AC53:AC57)</f>
        <v>8979.2816301106486</v>
      </c>
      <c r="AD58" s="961"/>
      <c r="AE58" s="961">
        <f>SUM(AE53:AE57)</f>
        <v>9428.2457116161822</v>
      </c>
      <c r="AF58" s="961"/>
      <c r="AG58" s="961">
        <f>SUM(AG53:AG57)</f>
        <v>9899.6579971969913</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69853</v>
      </c>
      <c r="G60" s="963">
        <f>G45-G58</f>
        <v>72960.315000000177</v>
      </c>
      <c r="I60" s="963">
        <f>I45-I58</f>
        <v>75819.405524999835</v>
      </c>
      <c r="K60" s="963">
        <f>K45-K58</f>
        <v>78412.55876587471</v>
      </c>
      <c r="M60" s="963">
        <f>M45-M58</f>
        <v>80721.211520067882</v>
      </c>
      <c r="O60" s="963">
        <f>O45-O58</f>
        <v>82725.914429641707</v>
      </c>
      <c r="Q60" s="963">
        <f>Q45-Q58</f>
        <v>84406.294805932848</v>
      </c>
      <c r="S60" s="963">
        <f>S45-S58</f>
        <v>85741.01798671743</v>
      </c>
      <c r="U60" s="963">
        <f>U45-U58</f>
        <v>86707.747169738883</v>
      </c>
      <c r="W60" s="963">
        <f>W45-W58</f>
        <v>87283.101664354152</v>
      </c>
      <c r="Y60" s="963">
        <f>Y45-Y58</f>
        <v>87442.613500853491</v>
      </c>
      <c r="AA60" s="963">
        <f>AA45-AA58</f>
        <v>87160.682334717829</v>
      </c>
      <c r="AC60" s="963">
        <f>AC45-AC58</f>
        <v>86410.528580741069</v>
      </c>
      <c r="AE60" s="963">
        <f>AE45-AE58</f>
        <v>85164.144709480752</v>
      </c>
      <c r="AG60" s="963">
        <f>AG45-AG58</f>
        <v>83392.244635944735</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5">
        <f>E60*$C$62</f>
        <v>69853</v>
      </c>
      <c r="G62" s="963">
        <f>G60*$C$62</f>
        <v>72960.315000000177</v>
      </c>
      <c r="I62" s="963">
        <f>I60*$C$62</f>
        <v>75819.405524999835</v>
      </c>
      <c r="K62" s="963">
        <f>K60*$C$62</f>
        <v>78412.55876587471</v>
      </c>
      <c r="M62" s="963">
        <f>M60*$C$62</f>
        <v>80721.211520067882</v>
      </c>
      <c r="O62" s="963">
        <f>O60*$C$62</f>
        <v>82725.914429641707</v>
      </c>
      <c r="Q62" s="963">
        <f>Q60*$C$62</f>
        <v>84406.294805932848</v>
      </c>
      <c r="S62" s="963">
        <f>S60*$C$62</f>
        <v>85741.01798671743</v>
      </c>
      <c r="U62" s="963">
        <f>U60*$C$62</f>
        <v>86707.747169738883</v>
      </c>
      <c r="W62" s="963">
        <f>W60*$C$62</f>
        <v>87283.101664354152</v>
      </c>
      <c r="Y62" s="963">
        <f>Y60*$C$62</f>
        <v>87442.613500853491</v>
      </c>
      <c r="AA62" s="963">
        <f>AA60*$C$62</f>
        <v>87160.682334717829</v>
      </c>
      <c r="AC62" s="963">
        <f>AC60*$C$62</f>
        <v>86410.528580741069</v>
      </c>
      <c r="AE62" s="963">
        <f>AE60*$C$62</f>
        <v>85164.144709480752</v>
      </c>
      <c r="AG62" s="963">
        <f>AG60*$C$62</f>
        <v>83392.244635944735</v>
      </c>
    </row>
    <row r="63" spans="1:34" s="963" customFormat="1">
      <c r="A63" s="2235" t="s">
        <v>1184</v>
      </c>
      <c r="B63" s="2235"/>
      <c r="C63" s="2235"/>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233" t="s">
        <v>1721</v>
      </c>
      <c r="B77" s="2234"/>
      <c r="C77" s="2234"/>
      <c r="D77" s="2234"/>
      <c r="E77" s="2234"/>
      <c r="F77" s="2234"/>
      <c r="G77" s="2234"/>
      <c r="H77" s="2234"/>
      <c r="I77" s="2234"/>
      <c r="J77" s="2234"/>
      <c r="K77" s="2234"/>
      <c r="L77" s="2234"/>
      <c r="M77" s="2234"/>
      <c r="N77" s="2234"/>
      <c r="O77" s="2234"/>
      <c r="P77" s="2234"/>
      <c r="Q77" s="2234"/>
      <c r="R77" s="2234"/>
      <c r="S77" s="2234"/>
      <c r="T77" s="2234"/>
      <c r="U77" s="2234"/>
      <c r="V77" s="2234"/>
      <c r="W77" s="2234"/>
      <c r="X77" s="2234"/>
      <c r="Y77" s="2234"/>
      <c r="Z77" s="2234"/>
      <c r="AA77" s="2234"/>
      <c r="AB77" s="2234"/>
      <c r="AC77" s="2234"/>
      <c r="AD77" s="2234"/>
      <c r="AE77" s="2234"/>
      <c r="AF77" s="2234"/>
      <c r="AG77" s="223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7734375" defaultRowHeight="15.75" customHeight="1"/>
  <cols>
    <col min="1" max="8" width="2.77734375" style="1189"/>
    <col min="9" max="9" width="7.77734375" style="1189" customWidth="1"/>
    <col min="10" max="13" width="2.77734375" style="1189"/>
    <col min="14" max="14" width="4.77734375" style="1189" customWidth="1"/>
    <col min="15" max="19" width="2.77734375" style="1189"/>
    <col min="20" max="20" width="3.77734375" style="1189" customWidth="1"/>
    <col min="21" max="37" width="2.77734375" style="1189"/>
    <col min="38" max="38" width="3" style="1189" customWidth="1"/>
    <col min="39" max="45" width="2.77734375" style="1189"/>
    <col min="46" max="46" width="4.77734375" style="1189" customWidth="1"/>
    <col min="47" max="64" width="2.77734375" style="1189"/>
    <col min="65" max="65" width="10.44140625" style="1189" hidden="1" customWidth="1"/>
    <col min="66" max="66" width="5.5546875" style="1189" bestFit="1" customWidth="1"/>
    <col min="67" max="68" width="5.5546875" style="1189" hidden="1" customWidth="1"/>
    <col min="69" max="69" width="8" style="1189" hidden="1" customWidth="1"/>
    <col min="70" max="70" width="6" style="1189" hidden="1" customWidth="1"/>
    <col min="71" max="71" width="6.21875" style="1189" hidden="1" customWidth="1"/>
    <col min="72" max="76" width="5.5546875" style="1189" hidden="1" customWidth="1"/>
    <col min="77" max="77" width="6.21875" style="1189" bestFit="1" customWidth="1"/>
    <col min="78" max="78" width="5.5546875" style="1189" bestFit="1" customWidth="1"/>
    <col min="79" max="16384" width="2.77734375" style="1189"/>
  </cols>
  <sheetData>
    <row r="1" spans="1:65" ht="15.75" customHeight="1">
      <c r="A1" s="2244" t="s">
        <v>2460</v>
      </c>
      <c r="B1" s="2245"/>
      <c r="C1" s="2245"/>
      <c r="D1" s="2245"/>
      <c r="E1" s="2245"/>
      <c r="F1" s="2245"/>
      <c r="G1" s="2245"/>
      <c r="H1" s="2245"/>
      <c r="I1" s="2245"/>
      <c r="J1" s="2245"/>
      <c r="K1" s="2245"/>
      <c r="L1" s="2245"/>
      <c r="M1" s="2245"/>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c r="AL1" s="2245"/>
      <c r="AM1" s="2245"/>
      <c r="AN1" s="2245"/>
      <c r="AO1" s="2245"/>
      <c r="AP1" s="2245"/>
      <c r="AQ1" s="2245"/>
      <c r="AR1" s="2245"/>
      <c r="AS1" s="2245"/>
      <c r="AT1" s="2245"/>
      <c r="AU1" s="2245"/>
      <c r="AV1" s="2245"/>
      <c r="AW1" s="2245"/>
      <c r="AX1" s="2245"/>
      <c r="AY1" s="2245"/>
      <c r="AZ1" s="2245"/>
      <c r="BA1" s="2245"/>
      <c r="BB1" s="2245"/>
      <c r="BC1" s="2245"/>
      <c r="BD1" s="2245"/>
      <c r="BE1" s="2246"/>
    </row>
    <row r="2" spans="1:65" ht="15.75" customHeight="1">
      <c r="A2" s="2247" t="s">
        <v>2459</v>
      </c>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8"/>
      <c r="BC2" s="2248"/>
      <c r="BD2" s="2248"/>
      <c r="BE2" s="2249"/>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236" t="str">
        <f>IF(Application!H18="","",Application!H18)</f>
        <v>Adda and Paul Safran Senior Housing</v>
      </c>
      <c r="M4" s="2237"/>
      <c r="N4" s="2237"/>
      <c r="O4" s="2237"/>
      <c r="P4" s="2237"/>
      <c r="Q4" s="2237"/>
      <c r="R4" s="2237"/>
      <c r="S4" s="2237"/>
      <c r="T4" s="2237"/>
      <c r="U4" s="2237"/>
      <c r="V4" s="2237"/>
      <c r="W4" s="2237"/>
      <c r="X4" s="2237"/>
      <c r="Y4" s="2237"/>
      <c r="Z4" s="2237"/>
      <c r="AA4" s="2237"/>
      <c r="AB4" s="2237"/>
      <c r="AC4" s="2238"/>
      <c r="AD4" s="1192"/>
      <c r="AE4" s="1192"/>
      <c r="AF4" s="2250" t="s">
        <v>2458</v>
      </c>
      <c r="AG4" s="2250"/>
      <c r="AH4" s="2250"/>
      <c r="AI4" s="2250"/>
      <c r="AJ4" s="2250"/>
      <c r="AK4" s="2250"/>
      <c r="AL4" s="2250"/>
      <c r="AM4" s="2250"/>
      <c r="AN4" s="2250"/>
      <c r="AO4" s="2250"/>
      <c r="AP4" s="2251"/>
      <c r="AQ4" s="2252"/>
      <c r="AR4" s="2252"/>
      <c r="AS4" s="2252"/>
      <c r="AT4" s="2252"/>
      <c r="AU4" s="2252"/>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250" t="s">
        <v>2457</v>
      </c>
      <c r="AG5" s="2250"/>
      <c r="AH5" s="2250"/>
      <c r="AI5" s="2250"/>
      <c r="AJ5" s="2250"/>
      <c r="AK5" s="2250"/>
      <c r="AL5" s="2250"/>
      <c r="AM5" s="2250"/>
      <c r="AN5" s="2250"/>
      <c r="AO5" s="2250"/>
      <c r="AP5" s="2251"/>
      <c r="AQ5" s="2252"/>
      <c r="AR5" s="2252"/>
      <c r="AS5" s="2252"/>
      <c r="AT5" s="2252"/>
      <c r="AU5" s="2252"/>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236" t="str">
        <f>IF(Application!H16="","",Application!H16)</f>
        <v>APS Venice LP</v>
      </c>
      <c r="M6" s="2237"/>
      <c r="N6" s="2237"/>
      <c r="O6" s="2237"/>
      <c r="P6" s="2237"/>
      <c r="Q6" s="2237"/>
      <c r="R6" s="2237"/>
      <c r="S6" s="2237"/>
      <c r="T6" s="2237"/>
      <c r="U6" s="2237"/>
      <c r="V6" s="2237"/>
      <c r="W6" s="2237"/>
      <c r="X6" s="2237"/>
      <c r="Y6" s="2237"/>
      <c r="Z6" s="2237"/>
      <c r="AA6" s="2237"/>
      <c r="AB6" s="2237"/>
      <c r="AC6" s="2238"/>
      <c r="AD6" s="1192"/>
      <c r="AE6" s="1192"/>
      <c r="AF6" s="2239" t="s">
        <v>2455</v>
      </c>
      <c r="AG6" s="2239"/>
      <c r="AH6" s="2239"/>
      <c r="AI6" s="2239"/>
      <c r="AJ6" s="2239"/>
      <c r="AK6" s="2239"/>
      <c r="AL6" s="2239"/>
      <c r="AM6" s="2239"/>
      <c r="AN6" s="2239"/>
      <c r="AO6" s="2239"/>
      <c r="AP6" s="2240"/>
      <c r="AQ6" s="2240"/>
      <c r="AR6" s="2240"/>
      <c r="AS6" s="2240"/>
      <c r="AT6" s="2240"/>
      <c r="AU6" s="2240"/>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239" t="s">
        <v>2454</v>
      </c>
      <c r="AG7" s="2239"/>
      <c r="AH7" s="2239"/>
      <c r="AI7" s="2239"/>
      <c r="AJ7" s="2239"/>
      <c r="AK7" s="2239"/>
      <c r="AL7" s="2239"/>
      <c r="AM7" s="2239"/>
      <c r="AN7" s="2239"/>
      <c r="AO7" s="2239"/>
      <c r="AP7" s="2240"/>
      <c r="AQ7" s="2240"/>
      <c r="AR7" s="2240"/>
      <c r="AS7" s="2240"/>
      <c r="AT7" s="2240"/>
      <c r="AU7" s="2240"/>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241" t="str">
        <f>Application!T197</f>
        <v>No</v>
      </c>
      <c r="AC8" s="2242"/>
      <c r="AD8" s="2243"/>
      <c r="AE8" s="1192"/>
      <c r="AF8" s="2239" t="s">
        <v>2452</v>
      </c>
      <c r="AG8" s="2239"/>
      <c r="AH8" s="2239"/>
      <c r="AI8" s="2239"/>
      <c r="AJ8" s="2239"/>
      <c r="AK8" s="2239"/>
      <c r="AL8" s="2239"/>
      <c r="AM8" s="2239"/>
      <c r="AN8" s="2239"/>
      <c r="AO8" s="2239"/>
      <c r="AP8" s="2240" t="s">
        <v>2100</v>
      </c>
      <c r="AQ8" s="2240"/>
      <c r="AR8" s="2240"/>
      <c r="AS8" s="2240"/>
      <c r="AT8" s="2240"/>
      <c r="AU8" s="2240"/>
      <c r="AV8" s="1192"/>
      <c r="AW8" s="1192"/>
      <c r="AX8" s="1192"/>
      <c r="AY8" s="1192"/>
      <c r="AZ8" s="1192"/>
      <c r="BA8" s="1192"/>
      <c r="BB8" s="1192"/>
      <c r="BC8" s="1192"/>
      <c r="BD8" s="1192"/>
      <c r="BE8" s="1193"/>
      <c r="BM8" s="1189" t="s">
        <v>1984</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250" t="s">
        <v>2451</v>
      </c>
      <c r="AG9" s="2250"/>
      <c r="AH9" s="2250"/>
      <c r="AI9" s="2250"/>
      <c r="AJ9" s="2250"/>
      <c r="AK9" s="2250"/>
      <c r="AL9" s="2250"/>
      <c r="AM9" s="2250"/>
      <c r="AN9" s="2250"/>
      <c r="AO9" s="2250"/>
      <c r="AP9" s="2251"/>
      <c r="AQ9" s="2252"/>
      <c r="AR9" s="2252"/>
      <c r="AS9" s="2252"/>
      <c r="AT9" s="2252"/>
      <c r="AU9" s="2252"/>
      <c r="AV9" s="1192"/>
      <c r="AW9" s="1192"/>
      <c r="AX9" s="1192"/>
      <c r="AY9" s="1192"/>
      <c r="AZ9" s="1192"/>
      <c r="BA9" s="1192"/>
      <c r="BB9" s="1192"/>
      <c r="BC9" s="1192"/>
      <c r="BD9" s="1192"/>
      <c r="BE9" s="1193"/>
      <c r="BM9" s="1189" t="s">
        <v>2450</v>
      </c>
    </row>
    <row r="10" spans="1:65" ht="14.4">
      <c r="A10" s="1191"/>
      <c r="B10" s="1194" t="s">
        <v>2449</v>
      </c>
      <c r="C10" s="1194"/>
      <c r="D10" s="1194"/>
      <c r="E10" s="1194"/>
      <c r="F10" s="1194"/>
      <c r="G10" s="1194"/>
      <c r="H10" s="1194"/>
      <c r="I10" s="1194"/>
      <c r="J10" s="1194"/>
      <c r="K10" s="1194"/>
      <c r="L10" s="1194"/>
      <c r="M10" s="1192"/>
      <c r="N10" s="2265">
        <f>Application!AO627</f>
        <v>5500000</v>
      </c>
      <c r="O10" s="2265"/>
      <c r="P10" s="2265"/>
      <c r="Q10" s="2265"/>
      <c r="R10" s="2265"/>
      <c r="S10" s="2265"/>
      <c r="T10" s="2265"/>
      <c r="U10" s="1192"/>
      <c r="V10" s="1192"/>
      <c r="W10" s="1192"/>
      <c r="X10" s="1195"/>
      <c r="Y10" s="1195"/>
      <c r="Z10" s="1195"/>
      <c r="AA10" s="1195"/>
      <c r="AB10" s="1195"/>
      <c r="AC10" s="1195"/>
      <c r="AD10" s="1195"/>
      <c r="AE10" s="1195"/>
      <c r="AF10" s="2250" t="s">
        <v>2448</v>
      </c>
      <c r="AG10" s="2250"/>
      <c r="AH10" s="2250"/>
      <c r="AI10" s="2250"/>
      <c r="AJ10" s="2250"/>
      <c r="AK10" s="2250"/>
      <c r="AL10" s="2250"/>
      <c r="AM10" s="2250"/>
      <c r="AN10" s="2250"/>
      <c r="AO10" s="2250"/>
      <c r="AP10" s="2251"/>
      <c r="AQ10" s="2252"/>
      <c r="AR10" s="2252"/>
      <c r="AS10" s="2252"/>
      <c r="AT10" s="2252"/>
      <c r="AU10" s="2252"/>
      <c r="AV10" s="1195"/>
      <c r="AW10" s="1195"/>
      <c r="AX10" s="1192"/>
      <c r="AY10" s="1192"/>
      <c r="AZ10" s="1192"/>
      <c r="BA10" s="1192"/>
      <c r="BB10" s="1192"/>
      <c r="BC10" s="1192"/>
      <c r="BD10" s="1192"/>
      <c r="BE10" s="1193"/>
      <c r="BM10" s="1189" t="s">
        <v>2447</v>
      </c>
    </row>
    <row r="11" spans="1:65" ht="14.4">
      <c r="A11" s="1191"/>
      <c r="B11" s="1194" t="s">
        <v>2446</v>
      </c>
      <c r="C11" s="1194"/>
      <c r="D11" s="1194"/>
      <c r="E11" s="1194"/>
      <c r="F11" s="1194"/>
      <c r="G11" s="1194"/>
      <c r="H11" s="1194"/>
      <c r="I11" s="1194"/>
      <c r="J11" s="1194"/>
      <c r="K11" s="1194"/>
      <c r="L11" s="1194"/>
      <c r="M11" s="1192"/>
      <c r="N11" s="2265">
        <f>Application!AA933</f>
        <v>0</v>
      </c>
      <c r="O11" s="2265"/>
      <c r="P11" s="2265"/>
      <c r="Q11" s="2265"/>
      <c r="R11" s="2265"/>
      <c r="S11" s="2265"/>
      <c r="T11" s="2265"/>
      <c r="U11" s="1192"/>
      <c r="V11" s="1192"/>
      <c r="W11" s="1192"/>
      <c r="X11" s="1195"/>
      <c r="Y11" s="1195"/>
      <c r="Z11" s="1195"/>
      <c r="AA11" s="1195"/>
      <c r="AB11" s="1195"/>
      <c r="AC11" s="1195"/>
      <c r="AD11" s="1195"/>
      <c r="AE11" s="1195"/>
      <c r="AF11" s="2250" t="s">
        <v>2445</v>
      </c>
      <c r="AG11" s="2250"/>
      <c r="AH11" s="2250"/>
      <c r="AI11" s="2250"/>
      <c r="AJ11" s="2250"/>
      <c r="AK11" s="2250"/>
      <c r="AL11" s="2250"/>
      <c r="AM11" s="2250"/>
      <c r="AN11" s="2250"/>
      <c r="AO11" s="2250"/>
      <c r="AP11" s="2251"/>
      <c r="AQ11" s="2252"/>
      <c r="AR11" s="2252"/>
      <c r="AS11" s="2252"/>
      <c r="AT11" s="2252"/>
      <c r="AU11" s="2252"/>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2253" t="s">
        <v>2443</v>
      </c>
      <c r="C13" s="2254"/>
      <c r="D13" s="2254"/>
      <c r="E13" s="2254"/>
      <c r="F13" s="2254"/>
      <c r="G13" s="2254"/>
      <c r="H13" s="2254"/>
      <c r="I13" s="2254"/>
      <c r="J13" s="2254"/>
      <c r="K13" s="2254"/>
      <c r="L13" s="2254"/>
      <c r="M13" s="2254"/>
      <c r="N13" s="2254"/>
      <c r="O13" s="2254"/>
      <c r="P13" s="2255"/>
      <c r="Q13" s="2256" t="s">
        <v>669</v>
      </c>
      <c r="R13" s="2257"/>
      <c r="S13" s="2257"/>
      <c r="T13" s="2258"/>
      <c r="U13" s="1195"/>
      <c r="V13" s="1192"/>
      <c r="W13" s="1192"/>
      <c r="X13" s="1192"/>
      <c r="Y13" s="1192"/>
      <c r="Z13" s="1192"/>
      <c r="AA13" s="2259" t="s">
        <v>2442</v>
      </c>
      <c r="AB13" s="2259"/>
      <c r="AC13" s="2259"/>
      <c r="AD13" s="2259"/>
      <c r="AE13" s="2259"/>
      <c r="AF13" s="2259"/>
      <c r="AG13" s="2259"/>
      <c r="AH13" s="2259"/>
      <c r="AI13" s="2259"/>
      <c r="AJ13" s="2259"/>
      <c r="AK13" s="2259"/>
      <c r="AL13" s="2259"/>
      <c r="AM13" s="2259"/>
      <c r="AN13" s="2259"/>
      <c r="AO13" s="2260">
        <f>Application!W473</f>
        <v>12</v>
      </c>
      <c r="AP13" s="2261"/>
      <c r="AQ13" s="2261"/>
      <c r="AR13" s="2261"/>
      <c r="AS13" s="2261"/>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262" t="s">
        <v>2440</v>
      </c>
      <c r="AB14" s="2262"/>
      <c r="AC14" s="2262"/>
      <c r="AD14" s="2262"/>
      <c r="AE14" s="2262"/>
      <c r="AF14" s="2262"/>
      <c r="AG14" s="2262"/>
      <c r="AH14" s="2262"/>
      <c r="AI14" s="2262"/>
      <c r="AJ14" s="2262"/>
      <c r="AK14" s="2262"/>
      <c r="AL14" s="2262"/>
      <c r="AM14" s="2262"/>
      <c r="AN14" s="2262"/>
      <c r="AO14" s="2263"/>
      <c r="AP14" s="2264"/>
      <c r="AQ14" s="2264"/>
      <c r="AR14" s="2264"/>
      <c r="AS14" s="2264"/>
      <c r="AT14" s="1195"/>
      <c r="AU14" s="1195"/>
      <c r="AV14" s="1195"/>
      <c r="AW14" s="1195"/>
      <c r="AX14" s="1195"/>
      <c r="AY14" s="1195"/>
      <c r="AZ14" s="1195"/>
      <c r="BA14" s="1195"/>
      <c r="BB14" s="1195"/>
      <c r="BC14" s="1195"/>
      <c r="BD14" s="1195"/>
      <c r="BE14" s="1196"/>
    </row>
    <row r="15" spans="1:65" ht="15" thickBot="1">
      <c r="A15" s="1192"/>
      <c r="B15" s="2266" t="s">
        <v>2439</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195"/>
      <c r="Y15" s="1192"/>
      <c r="Z15" s="1192"/>
      <c r="AA15" s="2259" t="s">
        <v>2438</v>
      </c>
      <c r="AB15" s="2259"/>
      <c r="AC15" s="2259"/>
      <c r="AD15" s="2259"/>
      <c r="AE15" s="2259"/>
      <c r="AF15" s="2259"/>
      <c r="AG15" s="2259"/>
      <c r="AH15" s="2259"/>
      <c r="AI15" s="2259"/>
      <c r="AJ15" s="2259"/>
      <c r="AK15" s="2259"/>
      <c r="AL15" s="2259"/>
      <c r="AM15" s="2259"/>
      <c r="AN15" s="2259"/>
      <c r="AO15" s="2263"/>
      <c r="AP15" s="2264"/>
      <c r="AQ15" s="2264"/>
      <c r="AR15" s="2264"/>
      <c r="AS15" s="2264"/>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2271" t="s">
        <v>2437</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192"/>
      <c r="BA17" s="1192"/>
      <c r="BB17" s="1192"/>
      <c r="BC17" s="1192"/>
      <c r="BD17" s="1192"/>
      <c r="BE17" s="1196"/>
      <c r="BF17" s="1190"/>
    </row>
    <row r="18" spans="1:58" ht="15.75" customHeight="1">
      <c r="A18" s="1192"/>
      <c r="B18" s="2274" t="s">
        <v>2436</v>
      </c>
      <c r="C18" s="2275"/>
      <c r="D18" s="2275"/>
      <c r="E18" s="2275"/>
      <c r="F18" s="2275"/>
      <c r="G18" s="2275"/>
      <c r="H18" s="2275"/>
      <c r="I18" s="2276"/>
      <c r="J18" s="2277" t="s">
        <v>1586</v>
      </c>
      <c r="K18" s="2278"/>
      <c r="L18" s="2278"/>
      <c r="M18" s="2278"/>
      <c r="N18" s="2278"/>
      <c r="O18" s="2279"/>
      <c r="P18" s="2277" t="s">
        <v>323</v>
      </c>
      <c r="Q18" s="2278"/>
      <c r="R18" s="2278"/>
      <c r="S18" s="2278"/>
      <c r="T18" s="2278"/>
      <c r="U18" s="2279"/>
      <c r="V18" s="2277" t="s">
        <v>324</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2435</v>
      </c>
      <c r="AU18" s="2278"/>
      <c r="AV18" s="2278"/>
      <c r="AW18" s="2278"/>
      <c r="AX18" s="2278"/>
      <c r="AY18" s="2280"/>
      <c r="AZ18" s="1192"/>
      <c r="BA18" s="1192"/>
      <c r="BB18" s="1192"/>
      <c r="BC18" s="1192"/>
      <c r="BD18" s="1192"/>
      <c r="BE18" s="1196"/>
    </row>
    <row r="19" spans="1:58" ht="14.4">
      <c r="A19" s="1192"/>
      <c r="B19" s="2281">
        <v>0.3</v>
      </c>
      <c r="C19" s="2282"/>
      <c r="D19" s="2282"/>
      <c r="E19" s="2282"/>
      <c r="F19" s="2282"/>
      <c r="G19" s="2282"/>
      <c r="H19" s="2282"/>
      <c r="I19" s="2283"/>
      <c r="J19" s="2284">
        <f t="shared" ref="J19:J24" si="0">SUM(P19:AS19)</f>
        <v>0</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0</v>
      </c>
      <c r="W19" s="2285"/>
      <c r="X19" s="2285"/>
      <c r="Y19" s="2285"/>
      <c r="Z19" s="2285"/>
      <c r="AA19" s="2286"/>
      <c r="AB19" s="2284" cm="1">
        <f t="array" ref="AB19">SUMPRODUCT((Application!$B$714:$B$738 = 'CalHFA Addendum'!AB$18)*(Application!$AC$714:$AC$738 = 'CalHFA Addendum'!$B19),Application!$G$714:$G$738)</f>
        <v>0</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v>
      </c>
      <c r="AU19" s="2288"/>
      <c r="AV19" s="2288"/>
      <c r="AW19" s="2288"/>
      <c r="AX19" s="2288"/>
      <c r="AY19" s="2289"/>
      <c r="AZ19" s="1197"/>
      <c r="BA19" s="1192"/>
      <c r="BB19" s="1192"/>
      <c r="BC19" s="1192"/>
      <c r="BD19" s="1192"/>
      <c r="BE19" s="1196"/>
    </row>
    <row r="20" spans="1:58" ht="15" customHeight="1">
      <c r="A20" s="1192"/>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v>
      </c>
      <c r="AU20" s="2288"/>
      <c r="AV20" s="2288"/>
      <c r="AW20" s="2288"/>
      <c r="AX20" s="2288"/>
      <c r="AY20" s="2289"/>
      <c r="AZ20" s="1192"/>
      <c r="BA20" s="1192"/>
      <c r="BB20" s="1192"/>
      <c r="BC20" s="1192"/>
      <c r="BD20" s="1192"/>
      <c r="BE20" s="1196"/>
    </row>
    <row r="21" spans="1:58" ht="14.4">
      <c r="A21" s="1192"/>
      <c r="B21" s="2281">
        <v>0.5</v>
      </c>
      <c r="C21" s="2282"/>
      <c r="D21" s="2282"/>
      <c r="E21" s="2282"/>
      <c r="F21" s="2282"/>
      <c r="G21" s="2282"/>
      <c r="H21" s="2282"/>
      <c r="I21" s="2283"/>
      <c r="J21" s="2284">
        <f t="shared" si="0"/>
        <v>43</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43</v>
      </c>
      <c r="W21" s="2285"/>
      <c r="X21" s="2285"/>
      <c r="Y21" s="2285"/>
      <c r="Z21" s="2285"/>
      <c r="AA21" s="2286"/>
      <c r="AB21" s="2284" cm="1">
        <f t="array" ref="AB21">SUMPRODUCT((Application!$B$714:$B$738 = 'CalHFA Addendum'!AB$18)*(Application!$AC$714:$AC$738 = 'CalHFA Addendum'!$B21),Application!$G$714:$G$738)</f>
        <v>0</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0.79629629629629628</v>
      </c>
      <c r="AU21" s="2288"/>
      <c r="AV21" s="2288"/>
      <c r="AW21" s="2288"/>
      <c r="AX21" s="2288"/>
      <c r="AY21" s="2289"/>
      <c r="AZ21" s="1192"/>
      <c r="BA21" s="1192"/>
      <c r="BB21" s="1192"/>
      <c r="BC21" s="1192"/>
      <c r="BD21" s="1192"/>
      <c r="BE21" s="1196"/>
    </row>
    <row r="22" spans="1:58" ht="14.4">
      <c r="A22" s="1192"/>
      <c r="B22" s="2281">
        <v>0.6</v>
      </c>
      <c r="C22" s="2282"/>
      <c r="D22" s="2282"/>
      <c r="E22" s="2282"/>
      <c r="F22" s="2282"/>
      <c r="G22" s="2282"/>
      <c r="H22" s="2282"/>
      <c r="I22" s="2283"/>
      <c r="J22" s="2284">
        <f t="shared" si="0"/>
        <v>10</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10</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0.18518518518518517</v>
      </c>
      <c r="AU22" s="2288"/>
      <c r="AV22" s="2288"/>
      <c r="AW22" s="2288"/>
      <c r="AX22" s="2288"/>
      <c r="AY22" s="2289"/>
      <c r="AZ22" s="1192"/>
      <c r="BA22" s="1192"/>
      <c r="BB22" s="1192"/>
      <c r="BC22" s="1192"/>
      <c r="BD22" s="1192"/>
      <c r="BE22" s="1196"/>
    </row>
    <row r="23" spans="1:58" ht="14.4">
      <c r="A23" s="1192"/>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v>
      </c>
      <c r="AU23" s="2288"/>
      <c r="AV23" s="2288"/>
      <c r="AW23" s="2288"/>
      <c r="AX23" s="2288"/>
      <c r="AY23" s="2289"/>
      <c r="AZ23" s="1192"/>
      <c r="BA23" s="1192"/>
      <c r="BB23" s="1192"/>
      <c r="BC23" s="1192"/>
      <c r="BD23" s="1192"/>
      <c r="BE23" s="1196"/>
    </row>
    <row r="24" spans="1:58" ht="14.4">
      <c r="A24" s="1192"/>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0</v>
      </c>
      <c r="AU24" s="2288"/>
      <c r="AV24" s="2288"/>
      <c r="AW24" s="2288"/>
      <c r="AX24" s="2288"/>
      <c r="AY24" s="2289"/>
      <c r="AZ24" s="1192"/>
      <c r="BA24" s="1192"/>
      <c r="BB24" s="1192"/>
      <c r="BC24" s="1192"/>
      <c r="BD24" s="1192"/>
      <c r="BE24" s="1196"/>
    </row>
    <row r="25" spans="1:58" ht="14.4">
      <c r="A25" s="1192"/>
      <c r="B25" s="2281">
        <v>0.9</v>
      </c>
      <c r="C25" s="2282"/>
      <c r="D25" s="2282"/>
      <c r="E25" s="2282"/>
      <c r="F25" s="2282"/>
      <c r="G25" s="2282"/>
      <c r="H25" s="2282"/>
      <c r="I25" s="2283"/>
      <c r="J25" s="2290"/>
      <c r="K25" s="2291"/>
      <c r="L25" s="2291"/>
      <c r="M25" s="2291"/>
      <c r="N25" s="2291"/>
      <c r="O25" s="2292"/>
      <c r="P25" s="2290"/>
      <c r="Q25" s="2291"/>
      <c r="R25" s="2291"/>
      <c r="S25" s="2291"/>
      <c r="T25" s="2291"/>
      <c r="U25" s="2292"/>
      <c r="V25" s="2290"/>
      <c r="W25" s="2291"/>
      <c r="X25" s="2291"/>
      <c r="Y25" s="2291"/>
      <c r="Z25" s="2291"/>
      <c r="AA25" s="2292"/>
      <c r="AB25" s="2290"/>
      <c r="AC25" s="2291"/>
      <c r="AD25" s="2291"/>
      <c r="AE25" s="2291"/>
      <c r="AF25" s="2291"/>
      <c r="AG25" s="2292"/>
      <c r="AH25" s="2290"/>
      <c r="AI25" s="2291"/>
      <c r="AJ25" s="2291"/>
      <c r="AK25" s="2291"/>
      <c r="AL25" s="2291"/>
      <c r="AM25" s="2292"/>
      <c r="AN25" s="2290"/>
      <c r="AO25" s="2291"/>
      <c r="AP25" s="2291"/>
      <c r="AQ25" s="2291"/>
      <c r="AR25" s="2291"/>
      <c r="AS25" s="2292"/>
      <c r="AT25" s="2287">
        <f t="shared" si="1"/>
        <v>0</v>
      </c>
      <c r="AU25" s="2288"/>
      <c r="AV25" s="2288"/>
      <c r="AW25" s="2288"/>
      <c r="AX25" s="2288"/>
      <c r="AY25" s="2289"/>
      <c r="AZ25" s="1192"/>
      <c r="BA25" s="1192"/>
      <c r="BB25" s="1192"/>
      <c r="BC25" s="1192"/>
      <c r="BD25" s="1192"/>
      <c r="BE25" s="1196"/>
    </row>
    <row r="26" spans="1:58" ht="14.4">
      <c r="A26" s="1192"/>
      <c r="B26" s="2281">
        <v>1</v>
      </c>
      <c r="C26" s="2282"/>
      <c r="D26" s="2282"/>
      <c r="E26" s="2282"/>
      <c r="F26" s="2282"/>
      <c r="G26" s="2282"/>
      <c r="H26" s="2282"/>
      <c r="I26" s="2283"/>
      <c r="J26" s="2290"/>
      <c r="K26" s="2291"/>
      <c r="L26" s="2291"/>
      <c r="M26" s="2291"/>
      <c r="N26" s="2291"/>
      <c r="O26" s="2292"/>
      <c r="P26" s="2290"/>
      <c r="Q26" s="2291"/>
      <c r="R26" s="2291"/>
      <c r="S26" s="2291"/>
      <c r="T26" s="2291"/>
      <c r="U26" s="2292"/>
      <c r="V26" s="2290"/>
      <c r="W26" s="2291"/>
      <c r="X26" s="2291"/>
      <c r="Y26" s="2291"/>
      <c r="Z26" s="2291"/>
      <c r="AA26" s="2292"/>
      <c r="AB26" s="2290"/>
      <c r="AC26" s="2291"/>
      <c r="AD26" s="2291"/>
      <c r="AE26" s="2291"/>
      <c r="AF26" s="2291"/>
      <c r="AG26" s="2292"/>
      <c r="AH26" s="2290"/>
      <c r="AI26" s="2291"/>
      <c r="AJ26" s="2291"/>
      <c r="AK26" s="2291"/>
      <c r="AL26" s="2291"/>
      <c r="AM26" s="2292"/>
      <c r="AN26" s="2290"/>
      <c r="AO26" s="2291"/>
      <c r="AP26" s="2291"/>
      <c r="AQ26" s="2291"/>
      <c r="AR26" s="2291"/>
      <c r="AS26" s="2292"/>
      <c r="AT26" s="2287">
        <f t="shared" si="1"/>
        <v>0</v>
      </c>
      <c r="AU26" s="2288"/>
      <c r="AV26" s="2288"/>
      <c r="AW26" s="2288"/>
      <c r="AX26" s="2288"/>
      <c r="AY26" s="2289"/>
      <c r="AZ26" s="1192"/>
      <c r="BA26" s="1192"/>
      <c r="BB26" s="1192"/>
      <c r="BC26" s="1192"/>
      <c r="BD26" s="1192"/>
      <c r="BE26" s="1196"/>
    </row>
    <row r="27" spans="1:58" ht="14.4">
      <c r="A27" s="1192"/>
      <c r="B27" s="2281">
        <v>1.2</v>
      </c>
      <c r="C27" s="2282"/>
      <c r="D27" s="2282"/>
      <c r="E27" s="2282"/>
      <c r="F27" s="2282"/>
      <c r="G27" s="2282"/>
      <c r="H27" s="2282"/>
      <c r="I27" s="2283"/>
      <c r="J27" s="2290"/>
      <c r="K27" s="2291"/>
      <c r="L27" s="2291"/>
      <c r="M27" s="2291"/>
      <c r="N27" s="2291"/>
      <c r="O27" s="2292"/>
      <c r="P27" s="2290"/>
      <c r="Q27" s="2291"/>
      <c r="R27" s="2291"/>
      <c r="S27" s="2291"/>
      <c r="T27" s="2291"/>
      <c r="U27" s="2292"/>
      <c r="V27" s="2290"/>
      <c r="W27" s="2291"/>
      <c r="X27" s="2291"/>
      <c r="Y27" s="2291"/>
      <c r="Z27" s="2291"/>
      <c r="AA27" s="2292"/>
      <c r="AB27" s="2290"/>
      <c r="AC27" s="2291"/>
      <c r="AD27" s="2291"/>
      <c r="AE27" s="2291"/>
      <c r="AF27" s="2291"/>
      <c r="AG27" s="2292"/>
      <c r="AH27" s="2290"/>
      <c r="AI27" s="2291"/>
      <c r="AJ27" s="2291"/>
      <c r="AK27" s="2291"/>
      <c r="AL27" s="2291"/>
      <c r="AM27" s="2292"/>
      <c r="AN27" s="2290"/>
      <c r="AO27" s="2291"/>
      <c r="AP27" s="2291"/>
      <c r="AQ27" s="2291"/>
      <c r="AR27" s="2291"/>
      <c r="AS27" s="2292"/>
      <c r="AT27" s="2287">
        <f t="shared" si="1"/>
        <v>0</v>
      </c>
      <c r="AU27" s="2288"/>
      <c r="AV27" s="2288"/>
      <c r="AW27" s="2288"/>
      <c r="AX27" s="2288"/>
      <c r="AY27" s="2289"/>
      <c r="AZ27" s="1192"/>
      <c r="BA27" s="1192"/>
      <c r="BB27" s="1192"/>
      <c r="BC27" s="1192"/>
      <c r="BD27" s="1192"/>
      <c r="BE27" s="1196"/>
    </row>
    <row r="28" spans="1:58" ht="15" thickBot="1">
      <c r="A28" s="1192"/>
      <c r="B28" s="2293" t="s">
        <v>2434</v>
      </c>
      <c r="C28" s="2294"/>
      <c r="D28" s="2294"/>
      <c r="E28" s="2294"/>
      <c r="F28" s="2294"/>
      <c r="G28" s="2294"/>
      <c r="H28" s="2294"/>
      <c r="I28" s="2295"/>
      <c r="J28" s="2296">
        <f>SUM(P28:AS28)</f>
        <v>1</v>
      </c>
      <c r="K28" s="2297"/>
      <c r="L28" s="2297"/>
      <c r="M28" s="2297"/>
      <c r="N28" s="2297"/>
      <c r="O28" s="2298"/>
      <c r="P28" s="2296">
        <f>_xlfn.IFNA(VLOOKUP(P$18,Application!$J$773:$S$776,6,FALSE), 0)</f>
        <v>0</v>
      </c>
      <c r="Q28" s="2297"/>
      <c r="R28" s="2297"/>
      <c r="S28" s="2297"/>
      <c r="T28" s="2297"/>
      <c r="U28" s="2298"/>
      <c r="V28" s="2296">
        <f>_xlfn.IFNA(VLOOKUP(V$18,Application!$J$773:$S$776,6,FALSE), 0)</f>
        <v>0</v>
      </c>
      <c r="W28" s="2297"/>
      <c r="X28" s="2297"/>
      <c r="Y28" s="2297"/>
      <c r="Z28" s="2297"/>
      <c r="AA28" s="2298"/>
      <c r="AB28" s="2296">
        <f>_xlfn.IFNA(VLOOKUP(AB$18,Application!$J$773:$S$776,6,FALSE), 0)</f>
        <v>1</v>
      </c>
      <c r="AC28" s="2297"/>
      <c r="AD28" s="2297"/>
      <c r="AE28" s="2297"/>
      <c r="AF28" s="2297"/>
      <c r="AG28" s="2298"/>
      <c r="AH28" s="2296">
        <f>_xlfn.IFNA(VLOOKUP(AH$18,Application!$J$773:$S$776,6,FALSE), 0)</f>
        <v>0</v>
      </c>
      <c r="AI28" s="2297"/>
      <c r="AJ28" s="2297"/>
      <c r="AK28" s="2297"/>
      <c r="AL28" s="2297"/>
      <c r="AM28" s="2298"/>
      <c r="AN28" s="2296">
        <f>_xlfn.IFNA(VLOOKUP(AN$18,Application!$J$773:$S$776,6,FALSE), 0)</f>
        <v>0</v>
      </c>
      <c r="AO28" s="2297"/>
      <c r="AP28" s="2297"/>
      <c r="AQ28" s="2297"/>
      <c r="AR28" s="2297"/>
      <c r="AS28" s="2298"/>
      <c r="AT28" s="2299">
        <f t="shared" si="1"/>
        <v>1.8518518518518517E-2</v>
      </c>
      <c r="AU28" s="2300"/>
      <c r="AV28" s="2300"/>
      <c r="AW28" s="2300"/>
      <c r="AX28" s="2300"/>
      <c r="AY28" s="2301"/>
      <c r="AZ28" s="1192"/>
      <c r="BA28" s="1192"/>
      <c r="BB28" s="1192"/>
      <c r="BC28" s="1192"/>
      <c r="BD28" s="1192"/>
      <c r="BE28" s="1196"/>
    </row>
    <row r="29" spans="1:58" ht="15" thickBot="1">
      <c r="A29" s="1192"/>
      <c r="B29" s="2330" t="s">
        <v>1586</v>
      </c>
      <c r="C29" s="2303"/>
      <c r="D29" s="2303"/>
      <c r="E29" s="2303"/>
      <c r="F29" s="2303"/>
      <c r="G29" s="2303"/>
      <c r="H29" s="2303"/>
      <c r="I29" s="2304"/>
      <c r="J29" s="2302">
        <f>SUM(J19:O28)</f>
        <v>54</v>
      </c>
      <c r="K29" s="2303"/>
      <c r="L29" s="2303"/>
      <c r="M29" s="2303"/>
      <c r="N29" s="2303"/>
      <c r="O29" s="2304"/>
      <c r="P29" s="2302">
        <f>SUM(P19:U28)</f>
        <v>0</v>
      </c>
      <c r="Q29" s="2303"/>
      <c r="R29" s="2303"/>
      <c r="S29" s="2303"/>
      <c r="T29" s="2303"/>
      <c r="U29" s="2304"/>
      <c r="V29" s="2302">
        <f>SUM(V19:AA28)</f>
        <v>53</v>
      </c>
      <c r="W29" s="2303"/>
      <c r="X29" s="2303"/>
      <c r="Y29" s="2303"/>
      <c r="Z29" s="2303"/>
      <c r="AA29" s="2304"/>
      <c r="AB29" s="2302">
        <f>SUM(AB19:AG28)</f>
        <v>1</v>
      </c>
      <c r="AC29" s="2303"/>
      <c r="AD29" s="2303"/>
      <c r="AE29" s="2303"/>
      <c r="AF29" s="2303"/>
      <c r="AG29" s="2304"/>
      <c r="AH29" s="2302">
        <f>SUM(AH19:AM28)</f>
        <v>0</v>
      </c>
      <c r="AI29" s="2303"/>
      <c r="AJ29" s="2303"/>
      <c r="AK29" s="2303"/>
      <c r="AL29" s="2303"/>
      <c r="AM29" s="2304"/>
      <c r="AN29" s="2302">
        <f>SUM(AN19:AS28)</f>
        <v>0</v>
      </c>
      <c r="AO29" s="2303"/>
      <c r="AP29" s="2303"/>
      <c r="AQ29" s="2303"/>
      <c r="AR29" s="2303"/>
      <c r="AS29" s="2304"/>
      <c r="AT29" s="2305">
        <f t="shared" si="1"/>
        <v>1</v>
      </c>
      <c r="AU29" s="2306"/>
      <c r="AV29" s="2306"/>
      <c r="AW29" s="2306"/>
      <c r="AX29" s="2306"/>
      <c r="AY29" s="2307"/>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308" t="s">
        <v>2433</v>
      </c>
      <c r="C31" s="2309"/>
      <c r="D31" s="2309"/>
      <c r="E31" s="2309"/>
      <c r="F31" s="2309"/>
      <c r="G31" s="2309"/>
      <c r="H31" s="2309"/>
      <c r="I31" s="2309"/>
      <c r="J31" s="2309"/>
      <c r="K31" s="2309"/>
      <c r="L31" s="2309"/>
      <c r="M31" s="2309"/>
      <c r="N31" s="2309"/>
      <c r="O31" s="2309"/>
      <c r="P31" s="2309"/>
      <c r="Q31" s="2309"/>
      <c r="R31" s="2309"/>
      <c r="S31" s="2309"/>
      <c r="T31" s="2309"/>
      <c r="U31" s="2309"/>
      <c r="V31" s="2309"/>
      <c r="W31" s="2309"/>
      <c r="X31" s="2309"/>
      <c r="Y31" s="2309"/>
      <c r="Z31" s="2309"/>
      <c r="AA31" s="2309"/>
      <c r="AB31" s="2309"/>
      <c r="AC31" s="2309"/>
      <c r="AD31" s="2309"/>
      <c r="AE31" s="2309"/>
      <c r="AF31" s="2309"/>
      <c r="AG31" s="2309"/>
      <c r="AH31" s="2309"/>
      <c r="AI31" s="2309"/>
      <c r="AJ31" s="2309"/>
      <c r="AK31" s="2309"/>
      <c r="AL31" s="2309"/>
      <c r="AM31" s="2309"/>
      <c r="AN31" s="2309"/>
      <c r="AO31" s="2309"/>
      <c r="AP31" s="2309"/>
      <c r="AQ31" s="2309"/>
      <c r="AR31" s="2309"/>
      <c r="AS31" s="2309"/>
      <c r="AT31" s="2309"/>
      <c r="AU31" s="2309"/>
      <c r="AV31" s="2309"/>
      <c r="AW31" s="2309"/>
      <c r="AX31" s="2309"/>
      <c r="AY31" s="2309"/>
      <c r="AZ31" s="2309"/>
      <c r="BA31" s="2309"/>
      <c r="BB31" s="2309"/>
      <c r="BC31" s="2309"/>
      <c r="BD31" s="2310"/>
      <c r="BE31" s="1196"/>
    </row>
    <row r="32" spans="1:58" ht="15" thickBot="1">
      <c r="A32" s="1192"/>
      <c r="B32" s="2311" t="s">
        <v>2432</v>
      </c>
      <c r="C32" s="2312"/>
      <c r="D32" s="2312"/>
      <c r="E32" s="2312"/>
      <c r="F32" s="2312"/>
      <c r="G32" s="2312"/>
      <c r="H32" s="2312"/>
      <c r="I32" s="2312"/>
      <c r="J32" s="2315" t="s">
        <v>2431</v>
      </c>
      <c r="K32" s="2316"/>
      <c r="L32" s="2316"/>
      <c r="M32" s="2316"/>
      <c r="N32" s="2315" t="s">
        <v>2430</v>
      </c>
      <c r="O32" s="2316"/>
      <c r="P32" s="2316"/>
      <c r="Q32" s="2318"/>
      <c r="R32" s="2320" t="s">
        <v>2429</v>
      </c>
      <c r="S32" s="2321"/>
      <c r="T32" s="2321"/>
      <c r="U32" s="2321"/>
      <c r="V32" s="2321"/>
      <c r="W32" s="2321"/>
      <c r="X32" s="2321"/>
      <c r="Y32" s="2321"/>
      <c r="Z32" s="2321"/>
      <c r="AA32" s="2321"/>
      <c r="AB32" s="2321"/>
      <c r="AC32" s="2321"/>
      <c r="AD32" s="2321"/>
      <c r="AE32" s="2321"/>
      <c r="AF32" s="2321"/>
      <c r="AG32" s="2321"/>
      <c r="AH32" s="2321"/>
      <c r="AI32" s="2321"/>
      <c r="AJ32" s="2321"/>
      <c r="AK32" s="2321"/>
      <c r="AL32" s="2321"/>
      <c r="AM32" s="2321"/>
      <c r="AN32" s="2321"/>
      <c r="AO32" s="2321"/>
      <c r="AP32" s="2321"/>
      <c r="AQ32" s="2321"/>
      <c r="AR32" s="2321"/>
      <c r="AS32" s="2321"/>
      <c r="AT32" s="2321"/>
      <c r="AU32" s="2321"/>
      <c r="AV32" s="2321"/>
      <c r="AW32" s="2321"/>
      <c r="AX32" s="2321"/>
      <c r="AY32" s="2321"/>
      <c r="AZ32" s="2321"/>
      <c r="BA32" s="2321"/>
      <c r="BB32" s="2321"/>
      <c r="BC32" s="2321"/>
      <c r="BD32" s="2322"/>
      <c r="BE32" s="1196"/>
    </row>
    <row r="33" spans="1:58" ht="15" customHeight="1">
      <c r="A33" s="1192"/>
      <c r="B33" s="2313"/>
      <c r="C33" s="2314"/>
      <c r="D33" s="2314"/>
      <c r="E33" s="2314"/>
      <c r="F33" s="2314"/>
      <c r="G33" s="2314"/>
      <c r="H33" s="2314"/>
      <c r="I33" s="2314"/>
      <c r="J33" s="2317"/>
      <c r="K33" s="2317"/>
      <c r="L33" s="2317"/>
      <c r="M33" s="2317"/>
      <c r="N33" s="2317"/>
      <c r="O33" s="2317"/>
      <c r="P33" s="2317"/>
      <c r="Q33" s="2319"/>
      <c r="R33" s="2323" t="s">
        <v>2428</v>
      </c>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24"/>
      <c r="AT33" s="2324"/>
      <c r="AU33" s="2324"/>
      <c r="AV33" s="2324"/>
      <c r="AW33" s="2324"/>
      <c r="AX33" s="2324"/>
      <c r="AY33" s="2324"/>
      <c r="AZ33" s="2324"/>
      <c r="BA33" s="2324"/>
      <c r="BB33" s="2324"/>
      <c r="BC33" s="2324"/>
      <c r="BD33" s="2325"/>
      <c r="BE33" s="1196"/>
    </row>
    <row r="34" spans="1:58" ht="15.75" customHeight="1" thickBot="1">
      <c r="A34" s="1192"/>
      <c r="B34" s="2313"/>
      <c r="C34" s="2314"/>
      <c r="D34" s="2314"/>
      <c r="E34" s="2314"/>
      <c r="F34" s="2314"/>
      <c r="G34" s="2314"/>
      <c r="H34" s="2314"/>
      <c r="I34" s="2314"/>
      <c r="J34" s="2317"/>
      <c r="K34" s="2317"/>
      <c r="L34" s="2317"/>
      <c r="M34" s="2317"/>
      <c r="N34" s="2317"/>
      <c r="O34" s="2317"/>
      <c r="P34" s="2317"/>
      <c r="Q34" s="2319"/>
      <c r="R34" s="2326"/>
      <c r="S34" s="2327"/>
      <c r="T34" s="2327"/>
      <c r="U34" s="2327"/>
      <c r="V34" s="2327"/>
      <c r="W34" s="2327"/>
      <c r="X34" s="2327"/>
      <c r="Y34" s="2327"/>
      <c r="Z34" s="2327"/>
      <c r="AA34" s="2327"/>
      <c r="AB34" s="2327"/>
      <c r="AC34" s="2327"/>
      <c r="AD34" s="2327"/>
      <c r="AE34" s="2327"/>
      <c r="AF34" s="2327"/>
      <c r="AG34" s="2327"/>
      <c r="AH34" s="2327"/>
      <c r="AI34" s="2327"/>
      <c r="AJ34" s="2327"/>
      <c r="AK34" s="2327"/>
      <c r="AL34" s="2327"/>
      <c r="AM34" s="2327"/>
      <c r="AN34" s="2327"/>
      <c r="AO34" s="2327"/>
      <c r="AP34" s="2327"/>
      <c r="AQ34" s="2327"/>
      <c r="AR34" s="2327"/>
      <c r="AS34" s="2327"/>
      <c r="AT34" s="2327"/>
      <c r="AU34" s="2327"/>
      <c r="AV34" s="2327"/>
      <c r="AW34" s="2327"/>
      <c r="AX34" s="2327"/>
      <c r="AY34" s="2327"/>
      <c r="AZ34" s="2327"/>
      <c r="BA34" s="2327"/>
      <c r="BB34" s="2327"/>
      <c r="BC34" s="2327"/>
      <c r="BD34" s="2328"/>
      <c r="BE34" s="1196"/>
    </row>
    <row r="35" spans="1:58" ht="15.75" customHeight="1">
      <c r="A35" s="1192"/>
      <c r="B35" s="2313"/>
      <c r="C35" s="2314"/>
      <c r="D35" s="2314"/>
      <c r="E35" s="2314"/>
      <c r="F35" s="2314"/>
      <c r="G35" s="2314"/>
      <c r="H35" s="2314"/>
      <c r="I35" s="2314"/>
      <c r="J35" s="2317"/>
      <c r="K35" s="2317"/>
      <c r="L35" s="2317"/>
      <c r="M35" s="2317"/>
      <c r="N35" s="2317"/>
      <c r="O35" s="2317"/>
      <c r="P35" s="2317"/>
      <c r="Q35" s="2317"/>
      <c r="R35" s="2329">
        <v>0.3</v>
      </c>
      <c r="S35" s="2329"/>
      <c r="T35" s="2329"/>
      <c r="U35" s="2329"/>
      <c r="V35" s="2329">
        <v>0.4</v>
      </c>
      <c r="W35" s="2329"/>
      <c r="X35" s="2329"/>
      <c r="Y35" s="2329"/>
      <c r="Z35" s="2329">
        <v>0.5</v>
      </c>
      <c r="AA35" s="2329"/>
      <c r="AB35" s="2329"/>
      <c r="AC35" s="2329"/>
      <c r="AD35" s="2329">
        <v>0.6</v>
      </c>
      <c r="AE35" s="2329"/>
      <c r="AF35" s="2329"/>
      <c r="AG35" s="2329"/>
      <c r="AH35" s="2329">
        <v>0.7</v>
      </c>
      <c r="AI35" s="2329"/>
      <c r="AJ35" s="2329"/>
      <c r="AK35" s="2329"/>
      <c r="AL35" s="2334">
        <v>0.8</v>
      </c>
      <c r="AM35" s="2335"/>
      <c r="AN35" s="2335"/>
      <c r="AO35" s="2336"/>
      <c r="AP35" s="2337">
        <v>1.2</v>
      </c>
      <c r="AQ35" s="2338"/>
      <c r="AR35" s="2339"/>
      <c r="AS35" s="2331" t="s">
        <v>2427</v>
      </c>
      <c r="AT35" s="2332"/>
      <c r="AU35" s="2332"/>
      <c r="AV35" s="2332"/>
      <c r="AW35" s="2332"/>
      <c r="AX35" s="2340"/>
      <c r="AY35" s="2331" t="s">
        <v>2426</v>
      </c>
      <c r="AZ35" s="2332"/>
      <c r="BA35" s="2332"/>
      <c r="BB35" s="2332"/>
      <c r="BC35" s="2332"/>
      <c r="BD35" s="2333"/>
      <c r="BE35" s="1196"/>
    </row>
    <row r="36" spans="1:58" ht="15.75" customHeight="1">
      <c r="A36" s="1192"/>
      <c r="B36" s="2350" t="s">
        <v>2425</v>
      </c>
      <c r="C36" s="2351"/>
      <c r="D36" s="2351"/>
      <c r="E36" s="2351"/>
      <c r="F36" s="2351"/>
      <c r="G36" s="2351"/>
      <c r="H36" s="2351"/>
      <c r="I36" s="2351"/>
      <c r="J36" s="2352" t="s">
        <v>2424</v>
      </c>
      <c r="K36" s="2352"/>
      <c r="L36" s="2352"/>
      <c r="M36" s="2352"/>
      <c r="N36" s="2352">
        <v>55</v>
      </c>
      <c r="O36" s="2352"/>
      <c r="P36" s="2352"/>
      <c r="Q36" s="2352"/>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41"/>
      <c r="AM36" s="2342"/>
      <c r="AN36" s="2342"/>
      <c r="AO36" s="2343"/>
      <c r="AP36" s="2341"/>
      <c r="AQ36" s="2342"/>
      <c r="AR36" s="2343"/>
      <c r="AS36" s="2344">
        <f t="shared" ref="AS36:AS47" si="2">SUM(R36:AR36)</f>
        <v>0</v>
      </c>
      <c r="AT36" s="2345"/>
      <c r="AU36" s="2345"/>
      <c r="AV36" s="2345"/>
      <c r="AW36" s="2345"/>
      <c r="AX36" s="2346"/>
      <c r="AY36" s="2347">
        <f t="shared" ref="AY36:AY47" si="3">AS36/$J$29</f>
        <v>0</v>
      </c>
      <c r="AZ36" s="2348"/>
      <c r="BA36" s="2348"/>
      <c r="BB36" s="2348"/>
      <c r="BC36" s="2348"/>
      <c r="BD36" s="2349"/>
      <c r="BE36" s="1196"/>
    </row>
    <row r="37" spans="1:58" ht="15.75" customHeight="1">
      <c r="A37" s="1192"/>
      <c r="B37" s="2350" t="s">
        <v>2423</v>
      </c>
      <c r="C37" s="2351"/>
      <c r="D37" s="2351"/>
      <c r="E37" s="2351"/>
      <c r="F37" s="2351"/>
      <c r="G37" s="2351"/>
      <c r="H37" s="2351"/>
      <c r="I37" s="2351"/>
      <c r="J37" s="2352" t="s">
        <v>2422</v>
      </c>
      <c r="K37" s="2352"/>
      <c r="L37" s="2352"/>
      <c r="M37" s="2352"/>
      <c r="N37" s="2352">
        <v>55</v>
      </c>
      <c r="O37" s="2352"/>
      <c r="P37" s="2352"/>
      <c r="Q37" s="2352"/>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41"/>
      <c r="AM37" s="2342"/>
      <c r="AN37" s="2342"/>
      <c r="AO37" s="2343"/>
      <c r="AP37" s="2341"/>
      <c r="AQ37" s="2342"/>
      <c r="AR37" s="2343"/>
      <c r="AS37" s="2344">
        <f t="shared" si="2"/>
        <v>0</v>
      </c>
      <c r="AT37" s="2345"/>
      <c r="AU37" s="2345"/>
      <c r="AV37" s="2345"/>
      <c r="AW37" s="2345"/>
      <c r="AX37" s="2346"/>
      <c r="AY37" s="2347">
        <f t="shared" si="3"/>
        <v>0</v>
      </c>
      <c r="AZ37" s="2348"/>
      <c r="BA37" s="2348"/>
      <c r="BB37" s="2348"/>
      <c r="BC37" s="2348"/>
      <c r="BD37" s="2349"/>
      <c r="BE37" s="1196"/>
    </row>
    <row r="38" spans="1:58" ht="15.75" customHeight="1">
      <c r="A38" s="1192"/>
      <c r="B38" s="2350" t="s">
        <v>2421</v>
      </c>
      <c r="C38" s="2351"/>
      <c r="D38" s="2351"/>
      <c r="E38" s="2351"/>
      <c r="F38" s="2351"/>
      <c r="G38" s="2351"/>
      <c r="H38" s="2351"/>
      <c r="I38" s="2351"/>
      <c r="J38" s="2352" t="s">
        <v>2420</v>
      </c>
      <c r="K38" s="2352"/>
      <c r="L38" s="2352"/>
      <c r="M38" s="2352"/>
      <c r="N38" s="2352">
        <v>55</v>
      </c>
      <c r="O38" s="2352"/>
      <c r="P38" s="2352"/>
      <c r="Q38" s="2352"/>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196"/>
    </row>
    <row r="39" spans="1:58" ht="15.75" customHeight="1">
      <c r="A39" s="1192"/>
      <c r="B39" s="2350" t="s">
        <v>2419</v>
      </c>
      <c r="C39" s="2351"/>
      <c r="D39" s="2351"/>
      <c r="E39" s="2351"/>
      <c r="F39" s="2351"/>
      <c r="G39" s="2351"/>
      <c r="H39" s="2351"/>
      <c r="I39" s="2351"/>
      <c r="J39" s="2352"/>
      <c r="K39" s="2352"/>
      <c r="L39" s="2352"/>
      <c r="M39" s="2352"/>
      <c r="N39" s="2352"/>
      <c r="O39" s="2352"/>
      <c r="P39" s="2352"/>
      <c r="Q39" s="2352"/>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196"/>
    </row>
    <row r="40" spans="1:58" ht="15.75" customHeight="1">
      <c r="A40" s="1192"/>
      <c r="B40" s="2350" t="s">
        <v>2419</v>
      </c>
      <c r="C40" s="2351"/>
      <c r="D40" s="2351"/>
      <c r="E40" s="2351"/>
      <c r="F40" s="2351"/>
      <c r="G40" s="2351"/>
      <c r="H40" s="2351"/>
      <c r="I40" s="2351"/>
      <c r="J40" s="2352"/>
      <c r="K40" s="2352"/>
      <c r="L40" s="2352"/>
      <c r="M40" s="2352"/>
      <c r="N40" s="2352"/>
      <c r="O40" s="2352"/>
      <c r="P40" s="2352"/>
      <c r="Q40" s="2352"/>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196"/>
    </row>
    <row r="41" spans="1:58" ht="15.75" customHeight="1">
      <c r="A41" s="1192"/>
      <c r="B41" s="2350" t="s">
        <v>2418</v>
      </c>
      <c r="C41" s="2351"/>
      <c r="D41" s="2351"/>
      <c r="E41" s="2351"/>
      <c r="F41" s="2351"/>
      <c r="G41" s="2351"/>
      <c r="H41" s="2351"/>
      <c r="I41" s="2351"/>
      <c r="J41" s="2352"/>
      <c r="K41" s="2352"/>
      <c r="L41" s="2352"/>
      <c r="M41" s="2352"/>
      <c r="N41" s="2352"/>
      <c r="O41" s="2352"/>
      <c r="P41" s="2352"/>
      <c r="Q41" s="2352"/>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196"/>
    </row>
    <row r="42" spans="1:58" ht="15.75" customHeight="1">
      <c r="A42" s="1192"/>
      <c r="B42" s="2350" t="s">
        <v>2418</v>
      </c>
      <c r="C42" s="2351"/>
      <c r="D42" s="2351"/>
      <c r="E42" s="2351"/>
      <c r="F42" s="2351"/>
      <c r="G42" s="2351"/>
      <c r="H42" s="2351"/>
      <c r="I42" s="2351"/>
      <c r="J42" s="2352"/>
      <c r="K42" s="2352"/>
      <c r="L42" s="2352"/>
      <c r="M42" s="2352"/>
      <c r="N42" s="2352"/>
      <c r="O42" s="2352"/>
      <c r="P42" s="2352"/>
      <c r="Q42" s="2352"/>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196"/>
    </row>
    <row r="43" spans="1:58" ht="15.75" customHeight="1">
      <c r="A43" s="1192"/>
      <c r="B43" s="2354" t="s">
        <v>2417</v>
      </c>
      <c r="C43" s="2355"/>
      <c r="D43" s="2355"/>
      <c r="E43" s="2355"/>
      <c r="F43" s="2355"/>
      <c r="G43" s="2355"/>
      <c r="H43" s="2355"/>
      <c r="I43" s="2355"/>
      <c r="J43" s="2352"/>
      <c r="K43" s="2352"/>
      <c r="L43" s="2352"/>
      <c r="M43" s="2352"/>
      <c r="N43" s="2352"/>
      <c r="O43" s="2352"/>
      <c r="P43" s="2352"/>
      <c r="Q43" s="2352"/>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196"/>
    </row>
    <row r="44" spans="1:58" ht="15.75" customHeight="1">
      <c r="A44" s="1192"/>
      <c r="B44" s="2354" t="s">
        <v>2416</v>
      </c>
      <c r="C44" s="2355"/>
      <c r="D44" s="2355"/>
      <c r="E44" s="2355"/>
      <c r="F44" s="2355"/>
      <c r="G44" s="2355"/>
      <c r="H44" s="2355"/>
      <c r="I44" s="2355"/>
      <c r="J44" s="2352"/>
      <c r="K44" s="2352"/>
      <c r="L44" s="2352"/>
      <c r="M44" s="2352"/>
      <c r="N44" s="2352"/>
      <c r="O44" s="2352"/>
      <c r="P44" s="2352"/>
      <c r="Q44" s="2352"/>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196"/>
    </row>
    <row r="45" spans="1:58" ht="15.75" customHeight="1">
      <c r="A45" s="1192"/>
      <c r="B45" s="2354" t="s">
        <v>2415</v>
      </c>
      <c r="C45" s="2355"/>
      <c r="D45" s="2355"/>
      <c r="E45" s="2355"/>
      <c r="F45" s="2355"/>
      <c r="G45" s="2355"/>
      <c r="H45" s="2355"/>
      <c r="I45" s="2355"/>
      <c r="J45" s="2352"/>
      <c r="K45" s="2352"/>
      <c r="L45" s="2352"/>
      <c r="M45" s="2352"/>
      <c r="N45" s="2352"/>
      <c r="O45" s="2352"/>
      <c r="P45" s="2352"/>
      <c r="Q45" s="2352"/>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196"/>
    </row>
    <row r="46" spans="1:58" ht="15.75" customHeight="1">
      <c r="A46" s="1192"/>
      <c r="B46" s="2354" t="s">
        <v>2339</v>
      </c>
      <c r="C46" s="2355"/>
      <c r="D46" s="2355"/>
      <c r="E46" s="2355"/>
      <c r="F46" s="2355"/>
      <c r="G46" s="2355"/>
      <c r="H46" s="2355"/>
      <c r="I46" s="2355"/>
      <c r="J46" s="2352"/>
      <c r="K46" s="2352"/>
      <c r="L46" s="2352"/>
      <c r="M46" s="2352"/>
      <c r="N46" s="2352">
        <v>99</v>
      </c>
      <c r="O46" s="2352"/>
      <c r="P46" s="2352"/>
      <c r="Q46" s="2352"/>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196"/>
    </row>
    <row r="47" spans="1:58" ht="15.75" customHeight="1" thickBot="1">
      <c r="A47" s="1192"/>
      <c r="B47" s="2356" t="s">
        <v>299</v>
      </c>
      <c r="C47" s="2357"/>
      <c r="D47" s="2357"/>
      <c r="E47" s="2357"/>
      <c r="F47" s="2357"/>
      <c r="G47" s="2357"/>
      <c r="H47" s="2357"/>
      <c r="I47" s="2357"/>
      <c r="J47" s="2358"/>
      <c r="K47" s="2358"/>
      <c r="L47" s="2358"/>
      <c r="M47" s="2358"/>
      <c r="N47" s="2358"/>
      <c r="O47" s="2358"/>
      <c r="P47" s="2358"/>
      <c r="Q47" s="2358"/>
      <c r="R47" s="2359"/>
      <c r="S47" s="2359"/>
      <c r="T47" s="2359"/>
      <c r="U47" s="2359"/>
      <c r="V47" s="2359"/>
      <c r="W47" s="2359"/>
      <c r="X47" s="2359"/>
      <c r="Y47" s="2359"/>
      <c r="Z47" s="2359"/>
      <c r="AA47" s="2359"/>
      <c r="AB47" s="2359"/>
      <c r="AC47" s="2359"/>
      <c r="AD47" s="2359"/>
      <c r="AE47" s="2359"/>
      <c r="AF47" s="2359"/>
      <c r="AG47" s="2359"/>
      <c r="AH47" s="2359"/>
      <c r="AI47" s="2359"/>
      <c r="AJ47" s="2359"/>
      <c r="AK47" s="2359"/>
      <c r="AL47" s="2363"/>
      <c r="AM47" s="2364"/>
      <c r="AN47" s="2364"/>
      <c r="AO47" s="2365"/>
      <c r="AP47" s="2363"/>
      <c r="AQ47" s="2364"/>
      <c r="AR47" s="2365"/>
      <c r="AS47" s="2344">
        <f t="shared" si="2"/>
        <v>0</v>
      </c>
      <c r="AT47" s="2345"/>
      <c r="AU47" s="2345"/>
      <c r="AV47" s="2345"/>
      <c r="AW47" s="2345"/>
      <c r="AX47" s="2346"/>
      <c r="AY47" s="2360">
        <f t="shared" si="3"/>
        <v>0</v>
      </c>
      <c r="AZ47" s="2361"/>
      <c r="BA47" s="2361"/>
      <c r="BB47" s="2361"/>
      <c r="BC47" s="2361"/>
      <c r="BD47" s="2362"/>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366" t="s">
        <v>2412</v>
      </c>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8"/>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369" t="s">
        <v>2405</v>
      </c>
      <c r="C51" s="2370"/>
      <c r="D51" s="2370"/>
      <c r="E51" s="2370"/>
      <c r="F51" s="2370"/>
      <c r="G51" s="2370"/>
      <c r="H51" s="2370"/>
      <c r="I51" s="2370"/>
      <c r="J51" s="2370" t="s">
        <v>2411</v>
      </c>
      <c r="K51" s="2370"/>
      <c r="L51" s="2370"/>
      <c r="M51" s="2370"/>
      <c r="N51" s="2370"/>
      <c r="O51" s="2370"/>
      <c r="P51" s="2370"/>
      <c r="Q51" s="2370"/>
      <c r="R51" s="2371" t="s">
        <v>2410</v>
      </c>
      <c r="S51" s="2371"/>
      <c r="T51" s="2371"/>
      <c r="U51" s="2371"/>
      <c r="V51" s="2371"/>
      <c r="W51" s="2371"/>
      <c r="X51" s="2371"/>
      <c r="Y51" s="2371"/>
      <c r="Z51" s="2371" t="s">
        <v>2409</v>
      </c>
      <c r="AA51" s="2371"/>
      <c r="AB51" s="2371"/>
      <c r="AC51" s="2371"/>
      <c r="AD51" s="2371"/>
      <c r="AE51" s="2371"/>
      <c r="AF51" s="2371"/>
      <c r="AG51" s="2371"/>
      <c r="AH51" s="2371" t="s">
        <v>2408</v>
      </c>
      <c r="AI51" s="2371"/>
      <c r="AJ51" s="2371"/>
      <c r="AK51" s="2371"/>
      <c r="AL51" s="2371"/>
      <c r="AM51" s="2371"/>
      <c r="AN51" s="2371"/>
      <c r="AO51" s="2372"/>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354" t="s">
        <v>2407</v>
      </c>
      <c r="C52" s="2355"/>
      <c r="D52" s="2355"/>
      <c r="E52" s="2355"/>
      <c r="F52" s="2355"/>
      <c r="G52" s="2355"/>
      <c r="H52" s="2355"/>
      <c r="I52" s="2355"/>
      <c r="J52" s="2373">
        <v>0</v>
      </c>
      <c r="K52" s="2373"/>
      <c r="L52" s="2373"/>
      <c r="M52" s="2373"/>
      <c r="N52" s="2373"/>
      <c r="O52" s="2373"/>
      <c r="P52" s="2373"/>
      <c r="Q52" s="2373"/>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354" t="s">
        <v>2406</v>
      </c>
      <c r="C53" s="2355"/>
      <c r="D53" s="2355"/>
      <c r="E53" s="2355"/>
      <c r="F53" s="2355"/>
      <c r="G53" s="2355"/>
      <c r="H53" s="2355"/>
      <c r="I53" s="2355"/>
      <c r="J53" s="2373">
        <v>0</v>
      </c>
      <c r="K53" s="2373"/>
      <c r="L53" s="2373"/>
      <c r="M53" s="2373"/>
      <c r="N53" s="2373"/>
      <c r="O53" s="2373"/>
      <c r="P53" s="2373"/>
      <c r="Q53" s="2373"/>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354"/>
      <c r="C54" s="2355"/>
      <c r="D54" s="2355"/>
      <c r="E54" s="2355"/>
      <c r="F54" s="2355"/>
      <c r="G54" s="2355"/>
      <c r="H54" s="2355"/>
      <c r="I54" s="2355"/>
      <c r="J54" s="2373"/>
      <c r="K54" s="2373"/>
      <c r="L54" s="2373"/>
      <c r="M54" s="2373"/>
      <c r="N54" s="2373"/>
      <c r="O54" s="2373"/>
      <c r="P54" s="2373"/>
      <c r="Q54" s="2373"/>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354"/>
      <c r="C55" s="2355"/>
      <c r="D55" s="2355"/>
      <c r="E55" s="2355"/>
      <c r="F55" s="2355"/>
      <c r="G55" s="2355"/>
      <c r="H55" s="2355"/>
      <c r="I55" s="2355"/>
      <c r="J55" s="2373"/>
      <c r="K55" s="2373"/>
      <c r="L55" s="2373"/>
      <c r="M55" s="2373"/>
      <c r="N55" s="2373"/>
      <c r="O55" s="2373"/>
      <c r="P55" s="2373"/>
      <c r="Q55" s="2373"/>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354"/>
      <c r="C56" s="2355"/>
      <c r="D56" s="2355"/>
      <c r="E56" s="2355"/>
      <c r="F56" s="2355"/>
      <c r="G56" s="2355"/>
      <c r="H56" s="2355"/>
      <c r="I56" s="2355"/>
      <c r="J56" s="2373"/>
      <c r="K56" s="2373"/>
      <c r="L56" s="2373"/>
      <c r="M56" s="2373"/>
      <c r="N56" s="2373"/>
      <c r="O56" s="2373"/>
      <c r="P56" s="2373"/>
      <c r="Q56" s="2373"/>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387" t="s">
        <v>1586</v>
      </c>
      <c r="C57" s="2388"/>
      <c r="D57" s="2388"/>
      <c r="E57" s="2388"/>
      <c r="F57" s="2388"/>
      <c r="G57" s="2388"/>
      <c r="H57" s="2388"/>
      <c r="I57" s="2388"/>
      <c r="J57" s="2388"/>
      <c r="K57" s="2388"/>
      <c r="L57" s="2388"/>
      <c r="M57" s="2388"/>
      <c r="N57" s="2388"/>
      <c r="O57" s="2388"/>
      <c r="P57" s="2388"/>
      <c r="Q57" s="2388"/>
      <c r="R57" s="2389">
        <f>SUM(R52:Y56)</f>
        <v>0</v>
      </c>
      <c r="S57" s="2389"/>
      <c r="T57" s="2389"/>
      <c r="U57" s="2389"/>
      <c r="V57" s="2389"/>
      <c r="W57" s="2389"/>
      <c r="X57" s="2389"/>
      <c r="Y57" s="2389"/>
      <c r="Z57" s="2390">
        <f>SUM(Z52:AG56)</f>
        <v>0</v>
      </c>
      <c r="AA57" s="2390"/>
      <c r="AB57" s="2390"/>
      <c r="AC57" s="2390"/>
      <c r="AD57" s="2390"/>
      <c r="AE57" s="2390"/>
      <c r="AF57" s="2390"/>
      <c r="AG57" s="2390"/>
      <c r="AH57" s="2391"/>
      <c r="AI57" s="2391"/>
      <c r="AJ57" s="2391"/>
      <c r="AK57" s="2391"/>
      <c r="AL57" s="2391"/>
      <c r="AM57" s="2391"/>
      <c r="AN57" s="2391"/>
      <c r="AO57" s="2392"/>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378" t="s">
        <v>2405</v>
      </c>
      <c r="C59" s="2379"/>
      <c r="D59" s="2379"/>
      <c r="E59" s="2379"/>
      <c r="F59" s="2379"/>
      <c r="G59" s="2379"/>
      <c r="H59" s="2379"/>
      <c r="I59" s="2380"/>
      <c r="J59" s="2272" t="s">
        <v>2404</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192"/>
      <c r="AY59" s="1192"/>
      <c r="AZ59" s="1192"/>
      <c r="BA59" s="1192"/>
      <c r="BB59" s="1192"/>
      <c r="BC59" s="1192"/>
      <c r="BD59" s="1192"/>
      <c r="BE59" s="1196"/>
    </row>
    <row r="60" spans="1:58" ht="15.75" customHeight="1">
      <c r="A60" s="1192"/>
      <c r="B60" s="2381" t="str">
        <f>IF(B52="", "", B52)</f>
        <v>Services Company 1</v>
      </c>
      <c r="C60" s="2382"/>
      <c r="D60" s="2382"/>
      <c r="E60" s="2382"/>
      <c r="F60" s="2382"/>
      <c r="G60" s="2382"/>
      <c r="H60" s="2382"/>
      <c r="I60" s="2383"/>
      <c r="J60" s="2384"/>
      <c r="K60" s="2385"/>
      <c r="L60" s="2385"/>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c r="AS60" s="2385"/>
      <c r="AT60" s="2385"/>
      <c r="AU60" s="2385"/>
      <c r="AV60" s="2385"/>
      <c r="AW60" s="2386"/>
      <c r="AX60" s="1192"/>
      <c r="AY60" s="1192"/>
      <c r="AZ60" s="1192"/>
      <c r="BA60" s="1192"/>
      <c r="BB60" s="1192"/>
      <c r="BC60" s="1192"/>
      <c r="BD60" s="1192"/>
      <c r="BE60" s="1196"/>
    </row>
    <row r="61" spans="1:58" ht="15.75" customHeight="1">
      <c r="A61" s="1192"/>
      <c r="B61" s="2381" t="str">
        <f>IF(B53="", "", B53)</f>
        <v>Services Company 2</v>
      </c>
      <c r="C61" s="2382"/>
      <c r="D61" s="2382"/>
      <c r="E61" s="2382"/>
      <c r="F61" s="2382"/>
      <c r="G61" s="2382"/>
      <c r="H61" s="2382"/>
      <c r="I61" s="2383"/>
      <c r="J61" s="2384"/>
      <c r="K61" s="2385"/>
      <c r="L61" s="2385"/>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c r="AS61" s="2385"/>
      <c r="AT61" s="2385"/>
      <c r="AU61" s="2385"/>
      <c r="AV61" s="2385"/>
      <c r="AW61" s="2386"/>
      <c r="AX61" s="1192"/>
      <c r="AY61" s="1192"/>
      <c r="AZ61" s="1192"/>
      <c r="BA61" s="1192"/>
      <c r="BB61" s="1192"/>
      <c r="BC61" s="1192"/>
      <c r="BD61" s="1192"/>
      <c r="BE61" s="1196"/>
    </row>
    <row r="62" spans="1:58" ht="15.75" customHeight="1">
      <c r="A62" s="1192"/>
      <c r="B62" s="2381" t="str">
        <f>IF(B54="", "", B54)</f>
        <v/>
      </c>
      <c r="C62" s="2382"/>
      <c r="D62" s="2382"/>
      <c r="E62" s="2382"/>
      <c r="F62" s="2382"/>
      <c r="G62" s="2382"/>
      <c r="H62" s="2382"/>
      <c r="I62" s="2383"/>
      <c r="J62" s="2384"/>
      <c r="K62" s="2385"/>
      <c r="L62" s="2385"/>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c r="AS62" s="2385"/>
      <c r="AT62" s="2385"/>
      <c r="AU62" s="2385"/>
      <c r="AV62" s="2385"/>
      <c r="AW62" s="2386"/>
      <c r="AX62" s="1192"/>
      <c r="AY62" s="1192"/>
      <c r="AZ62" s="1192"/>
      <c r="BA62" s="1192"/>
      <c r="BB62" s="1192"/>
      <c r="BC62" s="1192"/>
      <c r="BD62" s="1192"/>
      <c r="BE62" s="1196"/>
    </row>
    <row r="63" spans="1:58" ht="15.75" customHeight="1">
      <c r="A63" s="1192"/>
      <c r="B63" s="2381" t="str">
        <f>IF(B55="", "", B55)</f>
        <v/>
      </c>
      <c r="C63" s="2382"/>
      <c r="D63" s="2382"/>
      <c r="E63" s="2382"/>
      <c r="F63" s="2382"/>
      <c r="G63" s="2382"/>
      <c r="H63" s="2382"/>
      <c r="I63" s="2383"/>
      <c r="J63" s="2384"/>
      <c r="K63" s="2385"/>
      <c r="L63" s="2385"/>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c r="AS63" s="2385"/>
      <c r="AT63" s="2385"/>
      <c r="AU63" s="2385"/>
      <c r="AV63" s="2385"/>
      <c r="AW63" s="2386"/>
      <c r="AX63" s="1192"/>
      <c r="AY63" s="1192"/>
      <c r="AZ63" s="1192"/>
      <c r="BA63" s="1192"/>
      <c r="BB63" s="1192"/>
      <c r="BC63" s="1192"/>
      <c r="BD63" s="1192"/>
      <c r="BE63" s="1196"/>
    </row>
    <row r="64" spans="1:58" ht="15.75" customHeight="1" thickBot="1">
      <c r="A64" s="1192"/>
      <c r="B64" s="2403" t="str">
        <f>IF(B56="", "", B56)</f>
        <v/>
      </c>
      <c r="C64" s="2404"/>
      <c r="D64" s="2404"/>
      <c r="E64" s="2404"/>
      <c r="F64" s="2404"/>
      <c r="G64" s="2404"/>
      <c r="H64" s="2404"/>
      <c r="I64" s="2405"/>
      <c r="J64" s="2406"/>
      <c r="K64" s="2407"/>
      <c r="L64" s="2407"/>
      <c r="M64" s="2407"/>
      <c r="N64" s="2407"/>
      <c r="O64" s="2407"/>
      <c r="P64" s="2407"/>
      <c r="Q64" s="2407"/>
      <c r="R64" s="2407"/>
      <c r="S64" s="240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c r="AS64" s="2407"/>
      <c r="AT64" s="2407"/>
      <c r="AU64" s="2407"/>
      <c r="AV64" s="2407"/>
      <c r="AW64" s="2408"/>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271" t="s">
        <v>2402</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192"/>
      <c r="AC68" s="2415" t="s">
        <v>2401</v>
      </c>
      <c r="AD68" s="2416"/>
      <c r="AE68" s="2416"/>
      <c r="AF68" s="2416"/>
      <c r="AG68" s="2416"/>
      <c r="AH68" s="2416"/>
      <c r="AI68" s="2416"/>
      <c r="AJ68" s="2416"/>
      <c r="AK68" s="2416"/>
      <c r="AL68" s="2416"/>
      <c r="AM68" s="2416"/>
      <c r="AN68" s="2416"/>
      <c r="AO68" s="2416"/>
      <c r="AP68" s="2416"/>
      <c r="AQ68" s="2416"/>
      <c r="AR68" s="2416"/>
      <c r="AS68" s="2416"/>
      <c r="AT68" s="2416"/>
      <c r="AU68" s="2416"/>
      <c r="AV68" s="2393" t="s">
        <v>669</v>
      </c>
      <c r="AW68" s="2394"/>
      <c r="AX68" s="2394"/>
      <c r="AY68" s="2394"/>
      <c r="AZ68" s="2394"/>
      <c r="BA68" s="2394"/>
      <c r="BB68" s="2394"/>
      <c r="BC68" s="2395"/>
      <c r="BD68" s="1192"/>
      <c r="BE68" s="1196"/>
      <c r="BM68" s="1201" t="s">
        <v>2400</v>
      </c>
    </row>
    <row r="69" spans="1:94" ht="15.75" customHeight="1" thickTop="1" thickBot="1">
      <c r="A69" s="1192"/>
      <c r="B69" s="2396" t="s">
        <v>2399</v>
      </c>
      <c r="C69" s="2397"/>
      <c r="D69" s="2397"/>
      <c r="E69" s="2397"/>
      <c r="F69" s="2397"/>
      <c r="G69" s="2397"/>
      <c r="H69" s="2397"/>
      <c r="I69" s="2397"/>
      <c r="J69" s="2397"/>
      <c r="K69" s="2397"/>
      <c r="L69" s="2397"/>
      <c r="M69" s="2397"/>
      <c r="N69" s="2397"/>
      <c r="O69" s="2398" t="s">
        <v>2398</v>
      </c>
      <c r="P69" s="2399"/>
      <c r="Q69" s="2399"/>
      <c r="R69" s="2399"/>
      <c r="S69" s="2399"/>
      <c r="T69" s="2399"/>
      <c r="U69" s="2399"/>
      <c r="V69" s="2399"/>
      <c r="W69" s="2399"/>
      <c r="X69" s="2399"/>
      <c r="Y69" s="2399"/>
      <c r="Z69" s="2399"/>
      <c r="AA69" s="2400"/>
      <c r="AB69" s="1192"/>
      <c r="AC69" s="2401" t="s">
        <v>2397</v>
      </c>
      <c r="AD69" s="2402"/>
      <c r="AE69" s="2402"/>
      <c r="AF69" s="2402"/>
      <c r="AG69" s="2402"/>
      <c r="AH69" s="2402"/>
      <c r="AI69" s="2402"/>
      <c r="AJ69" s="2402"/>
      <c r="AK69" s="2402"/>
      <c r="AL69" s="2402"/>
      <c r="AM69" s="2402"/>
      <c r="AN69" s="2402"/>
      <c r="AO69" s="2402"/>
      <c r="AP69" s="2402"/>
      <c r="AQ69" s="2402"/>
      <c r="AR69" s="2402"/>
      <c r="AS69" s="2402"/>
      <c r="AT69" s="2402"/>
      <c r="AU69" s="2402"/>
      <c r="AV69" s="2393" t="s">
        <v>669</v>
      </c>
      <c r="AW69" s="2394"/>
      <c r="AX69" s="2394"/>
      <c r="AY69" s="2394"/>
      <c r="AZ69" s="2394"/>
      <c r="BA69" s="2394"/>
      <c r="BB69" s="2394"/>
      <c r="BC69" s="2395"/>
      <c r="BD69" s="1192"/>
      <c r="BE69" s="1196"/>
      <c r="BM69" s="1202" t="s">
        <v>545</v>
      </c>
    </row>
    <row r="70" spans="1:94" ht="15.75" customHeight="1">
      <c r="A70" s="1192"/>
      <c r="B70" s="2350" t="s">
        <v>2396</v>
      </c>
      <c r="C70" s="2351"/>
      <c r="D70" s="2351"/>
      <c r="E70" s="2351"/>
      <c r="F70" s="2351"/>
      <c r="G70" s="2351"/>
      <c r="H70" s="2351"/>
      <c r="I70" s="2351"/>
      <c r="J70" s="2351"/>
      <c r="K70" s="2351"/>
      <c r="L70" s="2351"/>
      <c r="M70" s="2351"/>
      <c r="N70" s="2351"/>
      <c r="O70" s="2409">
        <v>0</v>
      </c>
      <c r="P70" s="2409"/>
      <c r="Q70" s="2409"/>
      <c r="R70" s="2409"/>
      <c r="S70" s="2409"/>
      <c r="T70" s="2409"/>
      <c r="U70" s="2409"/>
      <c r="V70" s="2409"/>
      <c r="W70" s="2409"/>
      <c r="X70" s="2409"/>
      <c r="Y70" s="2409"/>
      <c r="Z70" s="2409"/>
      <c r="AA70" s="2410"/>
      <c r="AB70" s="1192"/>
      <c r="AC70" s="2366" t="s">
        <v>2395</v>
      </c>
      <c r="AD70" s="2367"/>
      <c r="AE70" s="2367"/>
      <c r="AF70" s="2411"/>
      <c r="AG70" s="2411"/>
      <c r="AH70" s="2411"/>
      <c r="AI70" s="2411"/>
      <c r="AJ70" s="2411"/>
      <c r="AK70" s="2411"/>
      <c r="AL70" s="2411"/>
      <c r="AM70" s="2411"/>
      <c r="AN70" s="2411"/>
      <c r="AO70" s="2411"/>
      <c r="AP70" s="2411"/>
      <c r="AQ70" s="2411"/>
      <c r="AR70" s="2411"/>
      <c r="AS70" s="2411"/>
      <c r="AT70" s="2411"/>
      <c r="AU70" s="2412"/>
      <c r="AV70" s="1192"/>
      <c r="AW70" s="1192"/>
      <c r="AX70" s="1192"/>
      <c r="AY70" s="1192"/>
      <c r="AZ70" s="1192"/>
      <c r="BA70" s="1192"/>
      <c r="BB70" s="1192"/>
      <c r="BC70" s="1192"/>
      <c r="BD70" s="1192"/>
      <c r="BE70" s="1196"/>
      <c r="BM70" s="1203" t="s">
        <v>669</v>
      </c>
    </row>
    <row r="71" spans="1:94" ht="15.75" customHeight="1" thickBot="1">
      <c r="A71" s="1192"/>
      <c r="B71" s="2350" t="s">
        <v>2394</v>
      </c>
      <c r="C71" s="2351"/>
      <c r="D71" s="2351"/>
      <c r="E71" s="2351"/>
      <c r="F71" s="2351"/>
      <c r="G71" s="2351"/>
      <c r="H71" s="2351"/>
      <c r="I71" s="2351"/>
      <c r="J71" s="2351"/>
      <c r="K71" s="2351"/>
      <c r="L71" s="2351"/>
      <c r="M71" s="2351"/>
      <c r="N71" s="2351"/>
      <c r="O71" s="2409">
        <v>0</v>
      </c>
      <c r="P71" s="2409"/>
      <c r="Q71" s="2409"/>
      <c r="R71" s="2409"/>
      <c r="S71" s="2409"/>
      <c r="T71" s="2409"/>
      <c r="U71" s="2409"/>
      <c r="V71" s="2409"/>
      <c r="W71" s="2409"/>
      <c r="X71" s="2409"/>
      <c r="Y71" s="2409"/>
      <c r="Z71" s="2409"/>
      <c r="AA71" s="2410"/>
      <c r="AB71" s="1192"/>
      <c r="AC71" s="2413" t="s">
        <v>2393</v>
      </c>
      <c r="AD71" s="2414"/>
      <c r="AE71" s="2414"/>
      <c r="AF71" s="2407"/>
      <c r="AG71" s="2407"/>
      <c r="AH71" s="2407"/>
      <c r="AI71" s="2407"/>
      <c r="AJ71" s="2407"/>
      <c r="AK71" s="2407"/>
      <c r="AL71" s="2407"/>
      <c r="AM71" s="2407"/>
      <c r="AN71" s="2407"/>
      <c r="AO71" s="2407"/>
      <c r="AP71" s="2407"/>
      <c r="AQ71" s="2407"/>
      <c r="AR71" s="2407"/>
      <c r="AS71" s="2407"/>
      <c r="AT71" s="2407"/>
      <c r="AU71" s="2408"/>
      <c r="AV71" s="1192"/>
      <c r="AW71" s="1192"/>
      <c r="AX71" s="1192"/>
      <c r="AY71" s="1192"/>
      <c r="AZ71" s="1192"/>
      <c r="BA71" s="1192"/>
      <c r="BB71" s="1192"/>
      <c r="BC71" s="1192"/>
      <c r="BD71" s="1192"/>
      <c r="BE71" s="1196"/>
      <c r="BM71" s="1189" t="s">
        <v>2392</v>
      </c>
    </row>
    <row r="72" spans="1:94" ht="15.75" customHeight="1">
      <c r="A72" s="1192"/>
      <c r="B72" s="2350" t="s">
        <v>2391</v>
      </c>
      <c r="C72" s="2351"/>
      <c r="D72" s="2351"/>
      <c r="E72" s="2351"/>
      <c r="F72" s="2351"/>
      <c r="G72" s="2351"/>
      <c r="H72" s="2351"/>
      <c r="I72" s="2351"/>
      <c r="J72" s="2351"/>
      <c r="K72" s="2351"/>
      <c r="L72" s="2351"/>
      <c r="M72" s="2351"/>
      <c r="N72" s="2351"/>
      <c r="O72" s="2409">
        <v>0</v>
      </c>
      <c r="P72" s="2409"/>
      <c r="Q72" s="2409"/>
      <c r="R72" s="2409"/>
      <c r="S72" s="2409"/>
      <c r="T72" s="2409"/>
      <c r="U72" s="2409"/>
      <c r="V72" s="2409"/>
      <c r="W72" s="2409"/>
      <c r="X72" s="2409"/>
      <c r="Y72" s="2409"/>
      <c r="Z72" s="2409"/>
      <c r="AA72" s="2410"/>
      <c r="AB72" s="1192"/>
      <c r="AC72" s="2433" t="s">
        <v>2390</v>
      </c>
      <c r="AD72" s="2434"/>
      <c r="AE72" s="2434"/>
      <c r="AF72" s="2434"/>
      <c r="AG72" s="2434"/>
      <c r="AH72" s="2434"/>
      <c r="AI72" s="2434"/>
      <c r="AJ72" s="2434"/>
      <c r="AK72" s="2434"/>
      <c r="AL72" s="2434"/>
      <c r="AM72" s="2434"/>
      <c r="AN72" s="2434"/>
      <c r="AO72" s="2434"/>
      <c r="AP72" s="2434"/>
      <c r="AQ72" s="2434"/>
      <c r="AR72" s="2434"/>
      <c r="AS72" s="2434"/>
      <c r="AT72" s="2434"/>
      <c r="AU72" s="2434"/>
      <c r="AV72" s="2367"/>
      <c r="AW72" s="2367"/>
      <c r="AX72" s="2367"/>
      <c r="AY72" s="2367"/>
      <c r="AZ72" s="2367"/>
      <c r="BA72" s="2367"/>
      <c r="BB72" s="2367"/>
      <c r="BC72" s="2368"/>
      <c r="BD72" s="1192"/>
      <c r="BE72" s="1196"/>
    </row>
    <row r="73" spans="1:94" ht="15.75" customHeight="1">
      <c r="A73" s="1192"/>
      <c r="B73" s="2354" t="s">
        <v>2389</v>
      </c>
      <c r="C73" s="2355"/>
      <c r="D73" s="2355"/>
      <c r="E73" s="2355"/>
      <c r="F73" s="2355"/>
      <c r="G73" s="2355"/>
      <c r="H73" s="2355"/>
      <c r="I73" s="2355"/>
      <c r="J73" s="2355"/>
      <c r="K73" s="2355"/>
      <c r="L73" s="2355"/>
      <c r="M73" s="2355"/>
      <c r="N73" s="2355"/>
      <c r="O73" s="2409">
        <v>0</v>
      </c>
      <c r="P73" s="2409"/>
      <c r="Q73" s="2409"/>
      <c r="R73" s="2409"/>
      <c r="S73" s="2409"/>
      <c r="T73" s="2409"/>
      <c r="U73" s="2409"/>
      <c r="V73" s="2409"/>
      <c r="W73" s="2409"/>
      <c r="X73" s="2409"/>
      <c r="Y73" s="2409"/>
      <c r="Z73" s="2409"/>
      <c r="AA73" s="2410"/>
      <c r="AB73" s="1192"/>
      <c r="AC73" s="2435" t="s">
        <v>2334</v>
      </c>
      <c r="AD73" s="2436"/>
      <c r="AE73" s="2436"/>
      <c r="AF73" s="2436"/>
      <c r="AG73" s="2436"/>
      <c r="AH73" s="2436"/>
      <c r="AI73" s="2436"/>
      <c r="AJ73" s="2436"/>
      <c r="AK73" s="2436"/>
      <c r="AL73" s="2436"/>
      <c r="AM73" s="2436"/>
      <c r="AN73" s="2436"/>
      <c r="AO73" s="2436"/>
      <c r="AP73" s="2436"/>
      <c r="AQ73" s="2436"/>
      <c r="AR73" s="2436"/>
      <c r="AS73" s="2436"/>
      <c r="AT73" s="2436"/>
      <c r="AU73" s="2436"/>
      <c r="AV73" s="2436"/>
      <c r="AW73" s="2436"/>
      <c r="AX73" s="2436"/>
      <c r="AY73" s="2436"/>
      <c r="AZ73" s="2436"/>
      <c r="BA73" s="2436"/>
      <c r="BB73" s="2436"/>
      <c r="BC73" s="2437"/>
      <c r="BD73" s="1192"/>
      <c r="BE73" s="1196"/>
      <c r="CK73" s="1190"/>
      <c r="CL73" s="1190"/>
      <c r="CM73" s="1190"/>
      <c r="CN73" s="1190"/>
      <c r="CO73" s="1190"/>
      <c r="CP73" s="1190"/>
    </row>
    <row r="74" spans="1:94" ht="15.75" customHeight="1">
      <c r="A74" s="1192"/>
      <c r="B74" s="2441"/>
      <c r="C74" s="2373"/>
      <c r="D74" s="2373"/>
      <c r="E74" s="2373"/>
      <c r="F74" s="2373"/>
      <c r="G74" s="2373"/>
      <c r="H74" s="2373"/>
      <c r="I74" s="2373"/>
      <c r="J74" s="2373"/>
      <c r="K74" s="2373"/>
      <c r="L74" s="2373"/>
      <c r="M74" s="2373"/>
      <c r="N74" s="2373"/>
      <c r="O74" s="2409"/>
      <c r="P74" s="2409"/>
      <c r="Q74" s="2409"/>
      <c r="R74" s="2409"/>
      <c r="S74" s="2409"/>
      <c r="T74" s="2409"/>
      <c r="U74" s="2409"/>
      <c r="V74" s="2409"/>
      <c r="W74" s="2409"/>
      <c r="X74" s="2409"/>
      <c r="Y74" s="2409"/>
      <c r="Z74" s="2409"/>
      <c r="AA74" s="2410"/>
      <c r="AB74" s="1192"/>
      <c r="AC74" s="2435"/>
      <c r="AD74" s="2436"/>
      <c r="AE74" s="2436"/>
      <c r="AF74" s="2436"/>
      <c r="AG74" s="2436"/>
      <c r="AH74" s="2436"/>
      <c r="AI74" s="2436"/>
      <c r="AJ74" s="2436"/>
      <c r="AK74" s="2436"/>
      <c r="AL74" s="2436"/>
      <c r="AM74" s="2436"/>
      <c r="AN74" s="2436"/>
      <c r="AO74" s="2436"/>
      <c r="AP74" s="2436"/>
      <c r="AQ74" s="2436"/>
      <c r="AR74" s="2436"/>
      <c r="AS74" s="2436"/>
      <c r="AT74" s="2436"/>
      <c r="AU74" s="2436"/>
      <c r="AV74" s="2436"/>
      <c r="AW74" s="2436"/>
      <c r="AX74" s="2436"/>
      <c r="AY74" s="2436"/>
      <c r="AZ74" s="2436"/>
      <c r="BA74" s="2436"/>
      <c r="BB74" s="2436"/>
      <c r="BC74" s="2437"/>
      <c r="BD74" s="1192"/>
      <c r="BE74" s="1196"/>
      <c r="CK74" s="1190"/>
      <c r="CL74" s="1190"/>
      <c r="CM74" s="1190"/>
      <c r="CN74" s="1190"/>
      <c r="CO74" s="1190"/>
      <c r="CP74" s="1190"/>
    </row>
    <row r="75" spans="1:94" ht="15.75" customHeight="1" thickBot="1">
      <c r="A75" s="1192"/>
      <c r="B75" s="2442" t="s">
        <v>124</v>
      </c>
      <c r="C75" s="2443"/>
      <c r="D75" s="2443"/>
      <c r="E75" s="2443"/>
      <c r="F75" s="2443"/>
      <c r="G75" s="2443"/>
      <c r="H75" s="2443"/>
      <c r="I75" s="2443"/>
      <c r="J75" s="2443"/>
      <c r="K75" s="2443"/>
      <c r="L75" s="2443"/>
      <c r="M75" s="2443"/>
      <c r="N75" s="2443"/>
      <c r="O75" s="2444">
        <f>SUM(O70:AA74)</f>
        <v>0</v>
      </c>
      <c r="P75" s="2444"/>
      <c r="Q75" s="2444"/>
      <c r="R75" s="2444"/>
      <c r="S75" s="2444"/>
      <c r="T75" s="2444"/>
      <c r="U75" s="2444"/>
      <c r="V75" s="2444"/>
      <c r="W75" s="2444"/>
      <c r="X75" s="2444"/>
      <c r="Y75" s="2444"/>
      <c r="Z75" s="2444"/>
      <c r="AA75" s="2445"/>
      <c r="AB75" s="1192"/>
      <c r="AC75" s="2435"/>
      <c r="AD75" s="2436"/>
      <c r="AE75" s="2436"/>
      <c r="AF75" s="2436"/>
      <c r="AG75" s="2436"/>
      <c r="AH75" s="2436"/>
      <c r="AI75" s="2436"/>
      <c r="AJ75" s="2436"/>
      <c r="AK75" s="2436"/>
      <c r="AL75" s="2436"/>
      <c r="AM75" s="2436"/>
      <c r="AN75" s="2436"/>
      <c r="AO75" s="2436"/>
      <c r="AP75" s="2436"/>
      <c r="AQ75" s="2436"/>
      <c r="AR75" s="2436"/>
      <c r="AS75" s="2436"/>
      <c r="AT75" s="2436"/>
      <c r="AU75" s="2436"/>
      <c r="AV75" s="2436"/>
      <c r="AW75" s="2436"/>
      <c r="AX75" s="2436"/>
      <c r="AY75" s="2436"/>
      <c r="AZ75" s="2436"/>
      <c r="BA75" s="2436"/>
      <c r="BB75" s="2436"/>
      <c r="BC75" s="2437"/>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435"/>
      <c r="AD76" s="2436"/>
      <c r="AE76" s="2436"/>
      <c r="AF76" s="2436"/>
      <c r="AG76" s="2436"/>
      <c r="AH76" s="2436"/>
      <c r="AI76" s="2436"/>
      <c r="AJ76" s="2436"/>
      <c r="AK76" s="2436"/>
      <c r="AL76" s="2436"/>
      <c r="AM76" s="2436"/>
      <c r="AN76" s="2436"/>
      <c r="AO76" s="2436"/>
      <c r="AP76" s="2436"/>
      <c r="AQ76" s="2436"/>
      <c r="AR76" s="2436"/>
      <c r="AS76" s="2436"/>
      <c r="AT76" s="2436"/>
      <c r="AU76" s="2436"/>
      <c r="AV76" s="2436"/>
      <c r="AW76" s="2436"/>
      <c r="AX76" s="2436"/>
      <c r="AY76" s="2436"/>
      <c r="AZ76" s="2436"/>
      <c r="BA76" s="2436"/>
      <c r="BB76" s="2436"/>
      <c r="BC76" s="2437"/>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438"/>
      <c r="AD77" s="2439"/>
      <c r="AE77" s="2439"/>
      <c r="AF77" s="2439"/>
      <c r="AG77" s="2439"/>
      <c r="AH77" s="2439"/>
      <c r="AI77" s="2439"/>
      <c r="AJ77" s="2439"/>
      <c r="AK77" s="2439"/>
      <c r="AL77" s="2439"/>
      <c r="AM77" s="2439"/>
      <c r="AN77" s="2439"/>
      <c r="AO77" s="2439"/>
      <c r="AP77" s="2439"/>
      <c r="AQ77" s="2439"/>
      <c r="AR77" s="2439"/>
      <c r="AS77" s="2439"/>
      <c r="AT77" s="2439"/>
      <c r="AU77" s="2439"/>
      <c r="AV77" s="2439"/>
      <c r="AW77" s="2439"/>
      <c r="AX77" s="2439"/>
      <c r="AY77" s="2439"/>
      <c r="AZ77" s="2439"/>
      <c r="BA77" s="2439"/>
      <c r="BB77" s="2439"/>
      <c r="BC77" s="2440"/>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417"/>
      <c r="G79" s="2418"/>
      <c r="H79" s="2418"/>
      <c r="I79" s="2418"/>
      <c r="J79" s="2418"/>
      <c r="K79" s="2418"/>
      <c r="L79" s="2418"/>
      <c r="M79" s="2418"/>
      <c r="N79" s="2418"/>
      <c r="O79" s="2418"/>
      <c r="P79" s="2418"/>
      <c r="Q79" s="2418"/>
      <c r="R79" s="2418"/>
      <c r="S79" s="2418"/>
      <c r="T79" s="2419"/>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420" t="s">
        <v>2387</v>
      </c>
      <c r="C80" s="2421"/>
      <c r="D80" s="2421"/>
      <c r="E80" s="2421"/>
      <c r="F80" s="2421"/>
      <c r="G80" s="2421"/>
      <c r="H80" s="2421"/>
      <c r="I80" s="2421"/>
      <c r="J80" s="2421"/>
      <c r="K80" s="2421"/>
      <c r="L80" s="2421"/>
      <c r="M80" s="2421"/>
      <c r="N80" s="2421"/>
      <c r="O80" s="2421"/>
      <c r="P80" s="2421"/>
      <c r="Q80" s="2421"/>
      <c r="R80" s="2422" t="str">
        <f>IFERROR(INDEX(BR96:BR98,MATCH(F79,$BQ$96:$BQ$98,0))/SUM($BR$96:$BR$98),"")</f>
        <v/>
      </c>
      <c r="S80" s="2423"/>
      <c r="T80" s="2424"/>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425" t="s">
        <v>2386</v>
      </c>
      <c r="C81" s="2426"/>
      <c r="D81" s="2426"/>
      <c r="E81" s="2426"/>
      <c r="F81" s="2426"/>
      <c r="G81" s="2426"/>
      <c r="H81" s="2426"/>
      <c r="I81" s="2426"/>
      <c r="J81" s="2426"/>
      <c r="K81" s="2426"/>
      <c r="L81" s="2426"/>
      <c r="M81" s="2426"/>
      <c r="N81" s="2426"/>
      <c r="O81" s="2426"/>
      <c r="P81" s="2426"/>
      <c r="Q81" s="2426"/>
      <c r="R81" s="2427" t="s">
        <v>2190</v>
      </c>
      <c r="S81" s="2428"/>
      <c r="T81" s="2429"/>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430" t="s">
        <v>2385</v>
      </c>
      <c r="C83" s="2431"/>
      <c r="D83" s="2431"/>
      <c r="E83" s="2431"/>
      <c r="F83" s="2431"/>
      <c r="G83" s="2431"/>
      <c r="H83" s="2431"/>
      <c r="I83" s="2431"/>
      <c r="J83" s="2431"/>
      <c r="K83" s="2431"/>
      <c r="L83" s="2431"/>
      <c r="M83" s="2431"/>
      <c r="N83" s="2431"/>
      <c r="O83" s="2431"/>
      <c r="P83" s="2431"/>
      <c r="Q83" s="2431"/>
      <c r="R83" s="2431"/>
      <c r="S83" s="2431"/>
      <c r="T83" s="2431"/>
      <c r="U83" s="2431"/>
      <c r="V83" s="2431"/>
      <c r="W83" s="2431"/>
      <c r="X83" s="2431"/>
      <c r="Y83" s="2431"/>
      <c r="Z83" s="2431"/>
      <c r="AA83" s="2431"/>
      <c r="AB83" s="2431"/>
      <c r="AC83" s="2431"/>
      <c r="AD83" s="2431"/>
      <c r="AE83" s="2431"/>
      <c r="AF83" s="2431"/>
      <c r="AG83" s="2431"/>
      <c r="AH83" s="2432"/>
      <c r="AI83" s="1192"/>
      <c r="AJ83" s="2448" t="s">
        <v>2384</v>
      </c>
      <c r="AK83" s="2449"/>
      <c r="AL83" s="2449"/>
      <c r="AM83" s="2449"/>
      <c r="AN83" s="2449"/>
      <c r="AO83" s="2449"/>
      <c r="AP83" s="2449"/>
      <c r="AQ83" s="2449"/>
      <c r="AR83" s="2449"/>
      <c r="AS83" s="2449"/>
      <c r="AT83" s="2449"/>
      <c r="AU83" s="2449"/>
      <c r="AV83" s="2449"/>
      <c r="AW83" s="2449"/>
      <c r="AX83" s="2449"/>
      <c r="AY83" s="2452" t="s">
        <v>545</v>
      </c>
      <c r="AZ83" s="2452"/>
      <c r="BA83" s="2452"/>
      <c r="BB83" s="2453"/>
      <c r="BC83" s="1192"/>
      <c r="BD83" s="1192"/>
      <c r="BE83" s="1196"/>
      <c r="CK83" s="1190"/>
      <c r="CL83" s="1190"/>
      <c r="CM83" s="1190"/>
      <c r="CN83" s="1190"/>
      <c r="CO83" s="1190"/>
      <c r="CP83" s="1190"/>
    </row>
    <row r="84" spans="1:94" ht="15.75" customHeight="1">
      <c r="A84" s="1192"/>
      <c r="B84" s="2369"/>
      <c r="C84" s="2370"/>
      <c r="D84" s="2370"/>
      <c r="E84" s="2370"/>
      <c r="F84" s="2370"/>
      <c r="G84" s="2370"/>
      <c r="H84" s="2370"/>
      <c r="I84" s="2370" t="s">
        <v>2374</v>
      </c>
      <c r="J84" s="2370"/>
      <c r="K84" s="2370"/>
      <c r="L84" s="2370"/>
      <c r="M84" s="2370"/>
      <c r="N84" s="2370"/>
      <c r="O84" s="2370" t="s">
        <v>2350</v>
      </c>
      <c r="P84" s="2370"/>
      <c r="Q84" s="2370"/>
      <c r="R84" s="2370"/>
      <c r="S84" s="2370"/>
      <c r="T84" s="2370"/>
      <c r="U84" s="2370"/>
      <c r="V84" s="2456" t="s">
        <v>2349</v>
      </c>
      <c r="W84" s="2456"/>
      <c r="X84" s="2456"/>
      <c r="Y84" s="2456"/>
      <c r="Z84" s="2456"/>
      <c r="AA84" s="2456"/>
      <c r="AB84" s="2457" t="s">
        <v>2373</v>
      </c>
      <c r="AC84" s="2457"/>
      <c r="AD84" s="2457"/>
      <c r="AE84" s="2457"/>
      <c r="AF84" s="2457"/>
      <c r="AG84" s="2457"/>
      <c r="AH84" s="2458"/>
      <c r="AI84" s="1192"/>
      <c r="AJ84" s="2450"/>
      <c r="AK84" s="2451"/>
      <c r="AL84" s="2451"/>
      <c r="AM84" s="2451"/>
      <c r="AN84" s="2451"/>
      <c r="AO84" s="2451"/>
      <c r="AP84" s="2451"/>
      <c r="AQ84" s="2451"/>
      <c r="AR84" s="2451"/>
      <c r="AS84" s="2451"/>
      <c r="AT84" s="2451"/>
      <c r="AU84" s="2451"/>
      <c r="AV84" s="2451"/>
      <c r="AW84" s="2451"/>
      <c r="AX84" s="2451"/>
      <c r="AY84" s="2454"/>
      <c r="AZ84" s="2454"/>
      <c r="BA84" s="2454"/>
      <c r="BB84" s="2455"/>
      <c r="BC84" s="1192"/>
      <c r="BD84" s="1192"/>
      <c r="BE84" s="1196"/>
      <c r="CK84" s="1190"/>
      <c r="CL84" s="1190"/>
      <c r="CM84" s="1190"/>
      <c r="CN84" s="1190"/>
      <c r="CO84" s="1190"/>
      <c r="CP84" s="1190"/>
    </row>
    <row r="85" spans="1:94" ht="15.75" customHeight="1">
      <c r="A85" s="1192"/>
      <c r="B85" s="2369"/>
      <c r="C85" s="2370"/>
      <c r="D85" s="2370"/>
      <c r="E85" s="2370"/>
      <c r="F85" s="2370"/>
      <c r="G85" s="2370"/>
      <c r="H85" s="2370"/>
      <c r="I85" s="2370"/>
      <c r="J85" s="2370"/>
      <c r="K85" s="2370"/>
      <c r="L85" s="2370"/>
      <c r="M85" s="2370"/>
      <c r="N85" s="2370"/>
      <c r="O85" s="2370"/>
      <c r="P85" s="2370"/>
      <c r="Q85" s="2370"/>
      <c r="R85" s="2370"/>
      <c r="S85" s="2370"/>
      <c r="T85" s="2370"/>
      <c r="U85" s="2370"/>
      <c r="V85" s="2456"/>
      <c r="W85" s="2456"/>
      <c r="X85" s="2456"/>
      <c r="Y85" s="2456"/>
      <c r="Z85" s="2456"/>
      <c r="AA85" s="2456"/>
      <c r="AB85" s="2457"/>
      <c r="AC85" s="2457"/>
      <c r="AD85" s="2457"/>
      <c r="AE85" s="2457"/>
      <c r="AF85" s="2457"/>
      <c r="AG85" s="2457"/>
      <c r="AH85" s="2458"/>
      <c r="AI85" s="1192"/>
      <c r="AJ85" s="2450"/>
      <c r="AK85" s="2451"/>
      <c r="AL85" s="2451"/>
      <c r="AM85" s="2451"/>
      <c r="AN85" s="2451"/>
      <c r="AO85" s="2451"/>
      <c r="AP85" s="2451"/>
      <c r="AQ85" s="2451"/>
      <c r="AR85" s="2451"/>
      <c r="AS85" s="2451"/>
      <c r="AT85" s="2451"/>
      <c r="AU85" s="2451"/>
      <c r="AV85" s="2451"/>
      <c r="AW85" s="2451"/>
      <c r="AX85" s="2451"/>
      <c r="AY85" s="2454"/>
      <c r="AZ85" s="2454"/>
      <c r="BA85" s="2454"/>
      <c r="BB85" s="2455"/>
      <c r="BC85" s="1192"/>
      <c r="BD85" s="1192"/>
      <c r="BE85" s="1196"/>
      <c r="CK85" s="1190"/>
      <c r="CL85" s="1190"/>
      <c r="CM85" s="1190"/>
      <c r="CN85" s="1190"/>
      <c r="CO85" s="1190"/>
      <c r="CP85" s="1190"/>
    </row>
    <row r="86" spans="1:94" ht="15.75" customHeight="1">
      <c r="A86" s="1192"/>
      <c r="B86" s="2369" t="s">
        <v>2372</v>
      </c>
      <c r="C86" s="2370"/>
      <c r="D86" s="2370"/>
      <c r="E86" s="2370"/>
      <c r="F86" s="2370"/>
      <c r="G86" s="2370"/>
      <c r="H86" s="2370"/>
      <c r="I86" s="2446">
        <v>0</v>
      </c>
      <c r="J86" s="2446"/>
      <c r="K86" s="2446"/>
      <c r="L86" s="2446"/>
      <c r="M86" s="2446"/>
      <c r="N86" s="2446"/>
      <c r="O86" s="2446">
        <v>0</v>
      </c>
      <c r="P86" s="2446"/>
      <c r="Q86" s="2446"/>
      <c r="R86" s="2446"/>
      <c r="S86" s="2446"/>
      <c r="T86" s="2446"/>
      <c r="U86" s="2446"/>
      <c r="V86" s="2446">
        <v>0</v>
      </c>
      <c r="W86" s="2446"/>
      <c r="X86" s="2446"/>
      <c r="Y86" s="2446"/>
      <c r="Z86" s="2446"/>
      <c r="AA86" s="2446"/>
      <c r="AB86" s="2446">
        <v>0</v>
      </c>
      <c r="AC86" s="2446"/>
      <c r="AD86" s="2446"/>
      <c r="AE86" s="2446"/>
      <c r="AF86" s="2446"/>
      <c r="AG86" s="2446"/>
      <c r="AH86" s="2447"/>
      <c r="AI86" s="1192"/>
      <c r="AJ86" s="2450"/>
      <c r="AK86" s="2451"/>
      <c r="AL86" s="2451"/>
      <c r="AM86" s="2451"/>
      <c r="AN86" s="2451"/>
      <c r="AO86" s="2451"/>
      <c r="AP86" s="2451"/>
      <c r="AQ86" s="2451"/>
      <c r="AR86" s="2451"/>
      <c r="AS86" s="2451"/>
      <c r="AT86" s="2451"/>
      <c r="AU86" s="2451"/>
      <c r="AV86" s="2451"/>
      <c r="AW86" s="2451"/>
      <c r="AX86" s="2451"/>
      <c r="AY86" s="2454"/>
      <c r="AZ86" s="2454"/>
      <c r="BA86" s="2454"/>
      <c r="BB86" s="2455"/>
      <c r="BC86" s="1192"/>
      <c r="BD86" s="1192"/>
      <c r="BE86" s="1196"/>
      <c r="CK86" s="1190"/>
      <c r="CL86" s="1190"/>
      <c r="CM86" s="1190"/>
      <c r="CN86" s="1190"/>
      <c r="CO86" s="1190"/>
      <c r="CP86" s="1190"/>
    </row>
    <row r="87" spans="1:94" ht="15.75" customHeight="1">
      <c r="A87" s="1192"/>
      <c r="B87" s="2369" t="s">
        <v>2371</v>
      </c>
      <c r="C87" s="2370"/>
      <c r="D87" s="2370"/>
      <c r="E87" s="2370"/>
      <c r="F87" s="2370"/>
      <c r="G87" s="2370"/>
      <c r="H87" s="2370"/>
      <c r="I87" s="2446">
        <v>0</v>
      </c>
      <c r="J87" s="2446"/>
      <c r="K87" s="2446"/>
      <c r="L87" s="2446"/>
      <c r="M87" s="2446"/>
      <c r="N87" s="2446"/>
      <c r="O87" s="2446">
        <v>0</v>
      </c>
      <c r="P87" s="2446"/>
      <c r="Q87" s="2446"/>
      <c r="R87" s="2446"/>
      <c r="S87" s="2446"/>
      <c r="T87" s="2446"/>
      <c r="U87" s="2446"/>
      <c r="V87" s="2446">
        <v>0</v>
      </c>
      <c r="W87" s="2446"/>
      <c r="X87" s="2446"/>
      <c r="Y87" s="2446"/>
      <c r="Z87" s="2446"/>
      <c r="AA87" s="2446"/>
      <c r="AB87" s="2446">
        <v>0</v>
      </c>
      <c r="AC87" s="2446"/>
      <c r="AD87" s="2446"/>
      <c r="AE87" s="2446"/>
      <c r="AF87" s="2446"/>
      <c r="AG87" s="2446"/>
      <c r="AH87" s="2447"/>
      <c r="AI87" s="1192"/>
      <c r="AJ87" s="2435" t="s">
        <v>2378</v>
      </c>
      <c r="AK87" s="2436"/>
      <c r="AL87" s="2436"/>
      <c r="AM87" s="2436"/>
      <c r="AN87" s="2436"/>
      <c r="AO87" s="2436"/>
      <c r="AP87" s="2436"/>
      <c r="AQ87" s="2436"/>
      <c r="AR87" s="2436"/>
      <c r="AS87" s="2436"/>
      <c r="AT87" s="2436"/>
      <c r="AU87" s="2436"/>
      <c r="AV87" s="2436"/>
      <c r="AW87" s="2436"/>
      <c r="AX87" s="2436"/>
      <c r="AY87" s="2436"/>
      <c r="AZ87" s="2436"/>
      <c r="BA87" s="2436"/>
      <c r="BB87" s="2437"/>
      <c r="BC87" s="1192"/>
      <c r="BD87" s="1192"/>
      <c r="BE87" s="1196"/>
      <c r="CK87" s="1190"/>
      <c r="CL87" s="1190"/>
      <c r="CM87" s="1190"/>
      <c r="CN87" s="1190"/>
      <c r="CO87" s="1190"/>
      <c r="CP87" s="1190"/>
    </row>
    <row r="88" spans="1:94" ht="15.75" customHeight="1" thickBot="1">
      <c r="A88" s="1192"/>
      <c r="B88" s="2387" t="s">
        <v>2370</v>
      </c>
      <c r="C88" s="2388"/>
      <c r="D88" s="2388"/>
      <c r="E88" s="2388"/>
      <c r="F88" s="2388"/>
      <c r="G88" s="2388"/>
      <c r="H88" s="2388"/>
      <c r="I88" s="2461">
        <v>0</v>
      </c>
      <c r="J88" s="2461"/>
      <c r="K88" s="2461"/>
      <c r="L88" s="2461"/>
      <c r="M88" s="2461"/>
      <c r="N88" s="2461"/>
      <c r="O88" s="2461">
        <v>0</v>
      </c>
      <c r="P88" s="2461"/>
      <c r="Q88" s="2461"/>
      <c r="R88" s="2461"/>
      <c r="S88" s="2461"/>
      <c r="T88" s="2461"/>
      <c r="U88" s="2461"/>
      <c r="V88" s="2461">
        <v>0</v>
      </c>
      <c r="W88" s="2461"/>
      <c r="X88" s="2461"/>
      <c r="Y88" s="2461"/>
      <c r="Z88" s="2461"/>
      <c r="AA88" s="2461"/>
      <c r="AB88" s="2461">
        <v>0</v>
      </c>
      <c r="AC88" s="2461"/>
      <c r="AD88" s="2461"/>
      <c r="AE88" s="2461"/>
      <c r="AF88" s="2461"/>
      <c r="AG88" s="2461"/>
      <c r="AH88" s="2462"/>
      <c r="AI88" s="1192"/>
      <c r="AJ88" s="2438"/>
      <c r="AK88" s="2439"/>
      <c r="AL88" s="2439"/>
      <c r="AM88" s="2439"/>
      <c r="AN88" s="2439"/>
      <c r="AO88" s="2439"/>
      <c r="AP88" s="2439"/>
      <c r="AQ88" s="2439"/>
      <c r="AR88" s="2439"/>
      <c r="AS88" s="2439"/>
      <c r="AT88" s="2439"/>
      <c r="AU88" s="2439"/>
      <c r="AV88" s="2439"/>
      <c r="AW88" s="2439"/>
      <c r="AX88" s="2439"/>
      <c r="AY88" s="2439"/>
      <c r="AZ88" s="2439"/>
      <c r="BA88" s="2439"/>
      <c r="BB88" s="2440"/>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417"/>
      <c r="G92" s="2418"/>
      <c r="H92" s="2418"/>
      <c r="I92" s="2418"/>
      <c r="J92" s="2418"/>
      <c r="K92" s="2418"/>
      <c r="L92" s="2418"/>
      <c r="M92" s="2418"/>
      <c r="N92" s="2418"/>
      <c r="O92" s="2418"/>
      <c r="P92" s="2418"/>
      <c r="Q92" s="2418"/>
      <c r="R92" s="2418"/>
      <c r="S92" s="2418"/>
      <c r="T92" s="2419"/>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420" t="s">
        <v>2382</v>
      </c>
      <c r="C93" s="2421"/>
      <c r="D93" s="2421"/>
      <c r="E93" s="2421"/>
      <c r="F93" s="2421"/>
      <c r="G93" s="2421"/>
      <c r="H93" s="2421"/>
      <c r="I93" s="2421"/>
      <c r="J93" s="2421"/>
      <c r="K93" s="2421"/>
      <c r="L93" s="2421"/>
      <c r="M93" s="2421"/>
      <c r="N93" s="2421"/>
      <c r="O93" s="2421"/>
      <c r="P93" s="2421"/>
      <c r="Q93" s="2459"/>
      <c r="R93" s="2422" t="str">
        <f>IFERROR(INDEX(BR96:BR98,MATCH(F92,$BQ$96:$BQ$98,0))/SUM($BR$96:$BR$98),"")</f>
        <v/>
      </c>
      <c r="S93" s="2423"/>
      <c r="T93" s="2424"/>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425" t="s">
        <v>2381</v>
      </c>
      <c r="C94" s="2426"/>
      <c r="D94" s="2426"/>
      <c r="E94" s="2426"/>
      <c r="F94" s="2426"/>
      <c r="G94" s="2426"/>
      <c r="H94" s="2426"/>
      <c r="I94" s="2426"/>
      <c r="J94" s="2426"/>
      <c r="K94" s="2426"/>
      <c r="L94" s="2426"/>
      <c r="M94" s="2426"/>
      <c r="N94" s="2426"/>
      <c r="O94" s="2426"/>
      <c r="P94" s="2426"/>
      <c r="Q94" s="2460"/>
      <c r="R94" s="2427" t="s">
        <v>2190</v>
      </c>
      <c r="S94" s="2428"/>
      <c r="T94" s="2429"/>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430" t="s">
        <v>2380</v>
      </c>
      <c r="C96" s="2431"/>
      <c r="D96" s="2431"/>
      <c r="E96" s="2431"/>
      <c r="F96" s="2431"/>
      <c r="G96" s="2431"/>
      <c r="H96" s="2431"/>
      <c r="I96" s="2431"/>
      <c r="J96" s="2431"/>
      <c r="K96" s="2431"/>
      <c r="L96" s="2431"/>
      <c r="M96" s="2431"/>
      <c r="N96" s="2431"/>
      <c r="O96" s="2431"/>
      <c r="P96" s="2431"/>
      <c r="Q96" s="2431"/>
      <c r="R96" s="2431"/>
      <c r="S96" s="2431"/>
      <c r="T96" s="2431"/>
      <c r="U96" s="2431"/>
      <c r="V96" s="2431"/>
      <c r="W96" s="2431"/>
      <c r="X96" s="2431"/>
      <c r="Y96" s="2431"/>
      <c r="Z96" s="2431"/>
      <c r="AA96" s="2431"/>
      <c r="AB96" s="2431"/>
      <c r="AC96" s="2431"/>
      <c r="AD96" s="2431"/>
      <c r="AE96" s="2431"/>
      <c r="AF96" s="2431"/>
      <c r="AG96" s="2431"/>
      <c r="AH96" s="2432"/>
      <c r="AI96" s="1192"/>
      <c r="AJ96" s="2448" t="s">
        <v>2379</v>
      </c>
      <c r="AK96" s="2449"/>
      <c r="AL96" s="2449"/>
      <c r="AM96" s="2449"/>
      <c r="AN96" s="2449"/>
      <c r="AO96" s="2449"/>
      <c r="AP96" s="2449"/>
      <c r="AQ96" s="2449"/>
      <c r="AR96" s="2449"/>
      <c r="AS96" s="2449"/>
      <c r="AT96" s="2449"/>
      <c r="AU96" s="2449"/>
      <c r="AV96" s="2449"/>
      <c r="AW96" s="2449"/>
      <c r="AX96" s="2449"/>
      <c r="AY96" s="2452" t="s">
        <v>545</v>
      </c>
      <c r="AZ96" s="2452"/>
      <c r="BA96" s="2452"/>
      <c r="BB96" s="2453"/>
      <c r="BC96" s="1192"/>
      <c r="BD96" s="1192"/>
      <c r="BE96" s="1196"/>
      <c r="BQ96" s="1189" t="str">
        <f>Application!M243&amp;IF(TRIM(Application!AA249)&lt;&gt;""," ("&amp;Application!AA249&amp;")","")</f>
        <v>Mountain Park Terrace, Inc. (HumanGood Affordable Housing)</v>
      </c>
      <c r="BR96" s="1218">
        <f>Application!AH246</f>
        <v>100</v>
      </c>
      <c r="CM96" s="1190"/>
      <c r="CN96" s="1190"/>
      <c r="CO96" s="1190"/>
      <c r="CP96" s="1190"/>
    </row>
    <row r="97" spans="1:94" ht="15.75" customHeight="1">
      <c r="A97" s="1192"/>
      <c r="B97" s="2369"/>
      <c r="C97" s="2370"/>
      <c r="D97" s="2370"/>
      <c r="E97" s="2370"/>
      <c r="F97" s="2370"/>
      <c r="G97" s="2370"/>
      <c r="H97" s="2370"/>
      <c r="I97" s="2370" t="s">
        <v>2374</v>
      </c>
      <c r="J97" s="2370"/>
      <c r="K97" s="2370"/>
      <c r="L97" s="2370"/>
      <c r="M97" s="2370"/>
      <c r="N97" s="2370"/>
      <c r="O97" s="2370" t="s">
        <v>2350</v>
      </c>
      <c r="P97" s="2370"/>
      <c r="Q97" s="2370"/>
      <c r="R97" s="2370"/>
      <c r="S97" s="2370"/>
      <c r="T97" s="2370"/>
      <c r="U97" s="2370"/>
      <c r="V97" s="2456" t="s">
        <v>2349</v>
      </c>
      <c r="W97" s="2456"/>
      <c r="X97" s="2456"/>
      <c r="Y97" s="2456"/>
      <c r="Z97" s="2456"/>
      <c r="AA97" s="2456"/>
      <c r="AB97" s="2457" t="s">
        <v>2373</v>
      </c>
      <c r="AC97" s="2457"/>
      <c r="AD97" s="2457"/>
      <c r="AE97" s="2457"/>
      <c r="AF97" s="2457"/>
      <c r="AG97" s="2457"/>
      <c r="AH97" s="2458"/>
      <c r="AI97" s="1192"/>
      <c r="AJ97" s="2450"/>
      <c r="AK97" s="2451"/>
      <c r="AL97" s="2451"/>
      <c r="AM97" s="2451"/>
      <c r="AN97" s="2451"/>
      <c r="AO97" s="2451"/>
      <c r="AP97" s="2451"/>
      <c r="AQ97" s="2451"/>
      <c r="AR97" s="2451"/>
      <c r="AS97" s="2451"/>
      <c r="AT97" s="2451"/>
      <c r="AU97" s="2451"/>
      <c r="AV97" s="2451"/>
      <c r="AW97" s="2451"/>
      <c r="AX97" s="2451"/>
      <c r="AY97" s="2454"/>
      <c r="AZ97" s="2454"/>
      <c r="BA97" s="2454"/>
      <c r="BB97" s="2455"/>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369"/>
      <c r="C98" s="2370"/>
      <c r="D98" s="2370"/>
      <c r="E98" s="2370"/>
      <c r="F98" s="2370"/>
      <c r="G98" s="2370"/>
      <c r="H98" s="2370"/>
      <c r="I98" s="2370"/>
      <c r="J98" s="2370"/>
      <c r="K98" s="2370"/>
      <c r="L98" s="2370"/>
      <c r="M98" s="2370"/>
      <c r="N98" s="2370"/>
      <c r="O98" s="2370"/>
      <c r="P98" s="2370"/>
      <c r="Q98" s="2370"/>
      <c r="R98" s="2370"/>
      <c r="S98" s="2370"/>
      <c r="T98" s="2370"/>
      <c r="U98" s="2370"/>
      <c r="V98" s="2456"/>
      <c r="W98" s="2456"/>
      <c r="X98" s="2456"/>
      <c r="Y98" s="2456"/>
      <c r="Z98" s="2456"/>
      <c r="AA98" s="2456"/>
      <c r="AB98" s="2457"/>
      <c r="AC98" s="2457"/>
      <c r="AD98" s="2457"/>
      <c r="AE98" s="2457"/>
      <c r="AF98" s="2457"/>
      <c r="AG98" s="2457"/>
      <c r="AH98" s="2458"/>
      <c r="AI98" s="1192"/>
      <c r="AJ98" s="2450"/>
      <c r="AK98" s="2451"/>
      <c r="AL98" s="2451"/>
      <c r="AM98" s="2451"/>
      <c r="AN98" s="2451"/>
      <c r="AO98" s="2451"/>
      <c r="AP98" s="2451"/>
      <c r="AQ98" s="2451"/>
      <c r="AR98" s="2451"/>
      <c r="AS98" s="2451"/>
      <c r="AT98" s="2451"/>
      <c r="AU98" s="2451"/>
      <c r="AV98" s="2451"/>
      <c r="AW98" s="2451"/>
      <c r="AX98" s="2451"/>
      <c r="AY98" s="2454"/>
      <c r="AZ98" s="2454"/>
      <c r="BA98" s="2454"/>
      <c r="BB98" s="2455"/>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369" t="s">
        <v>2372</v>
      </c>
      <c r="C99" s="2370"/>
      <c r="D99" s="2370"/>
      <c r="E99" s="2370"/>
      <c r="F99" s="2370"/>
      <c r="G99" s="2370"/>
      <c r="H99" s="2370"/>
      <c r="I99" s="2446">
        <v>0</v>
      </c>
      <c r="J99" s="2446"/>
      <c r="K99" s="2446"/>
      <c r="L99" s="2446"/>
      <c r="M99" s="2446"/>
      <c r="N99" s="2446"/>
      <c r="O99" s="2446">
        <v>0</v>
      </c>
      <c r="P99" s="2446"/>
      <c r="Q99" s="2446"/>
      <c r="R99" s="2446"/>
      <c r="S99" s="2446"/>
      <c r="T99" s="2446"/>
      <c r="U99" s="2446"/>
      <c r="V99" s="2446">
        <v>0</v>
      </c>
      <c r="W99" s="2446"/>
      <c r="X99" s="2446"/>
      <c r="Y99" s="2446"/>
      <c r="Z99" s="2446"/>
      <c r="AA99" s="2446"/>
      <c r="AB99" s="2446">
        <v>0</v>
      </c>
      <c r="AC99" s="2446"/>
      <c r="AD99" s="2446"/>
      <c r="AE99" s="2446"/>
      <c r="AF99" s="2446"/>
      <c r="AG99" s="2446"/>
      <c r="AH99" s="2447"/>
      <c r="AI99" s="1192"/>
      <c r="AJ99" s="2450"/>
      <c r="AK99" s="2451"/>
      <c r="AL99" s="2451"/>
      <c r="AM99" s="2451"/>
      <c r="AN99" s="2451"/>
      <c r="AO99" s="2451"/>
      <c r="AP99" s="2451"/>
      <c r="AQ99" s="2451"/>
      <c r="AR99" s="2451"/>
      <c r="AS99" s="2451"/>
      <c r="AT99" s="2451"/>
      <c r="AU99" s="2451"/>
      <c r="AV99" s="2451"/>
      <c r="AW99" s="2451"/>
      <c r="AX99" s="2451"/>
      <c r="AY99" s="2454"/>
      <c r="AZ99" s="2454"/>
      <c r="BA99" s="2454"/>
      <c r="BB99" s="2455"/>
      <c r="BC99" s="1192"/>
      <c r="BD99" s="1192"/>
      <c r="BE99" s="1196"/>
      <c r="CM99" s="1190"/>
      <c r="CN99" s="1190"/>
      <c r="CO99" s="1190"/>
      <c r="CP99" s="1190"/>
    </row>
    <row r="100" spans="1:94" ht="15.75" customHeight="1">
      <c r="A100" s="1192"/>
      <c r="B100" s="2369" t="s">
        <v>2371</v>
      </c>
      <c r="C100" s="2370"/>
      <c r="D100" s="2370"/>
      <c r="E100" s="2370"/>
      <c r="F100" s="2370"/>
      <c r="G100" s="2370"/>
      <c r="H100" s="2370"/>
      <c r="I100" s="2446">
        <v>0</v>
      </c>
      <c r="J100" s="2446"/>
      <c r="K100" s="2446"/>
      <c r="L100" s="2446"/>
      <c r="M100" s="2446"/>
      <c r="N100" s="2446"/>
      <c r="O100" s="2446">
        <v>0</v>
      </c>
      <c r="P100" s="2446"/>
      <c r="Q100" s="2446"/>
      <c r="R100" s="2446"/>
      <c r="S100" s="2446"/>
      <c r="T100" s="2446"/>
      <c r="U100" s="2446"/>
      <c r="V100" s="2446">
        <v>0</v>
      </c>
      <c r="W100" s="2446"/>
      <c r="X100" s="2446"/>
      <c r="Y100" s="2446"/>
      <c r="Z100" s="2446"/>
      <c r="AA100" s="2446"/>
      <c r="AB100" s="2446">
        <v>0</v>
      </c>
      <c r="AC100" s="2446"/>
      <c r="AD100" s="2446"/>
      <c r="AE100" s="2446"/>
      <c r="AF100" s="2446"/>
      <c r="AG100" s="2446"/>
      <c r="AH100" s="2447"/>
      <c r="AI100" s="1192"/>
      <c r="AJ100" s="2435" t="s">
        <v>2378</v>
      </c>
      <c r="AK100" s="2436"/>
      <c r="AL100" s="2436"/>
      <c r="AM100" s="2436"/>
      <c r="AN100" s="2436"/>
      <c r="AO100" s="2436"/>
      <c r="AP100" s="2436"/>
      <c r="AQ100" s="2436"/>
      <c r="AR100" s="2436"/>
      <c r="AS100" s="2436"/>
      <c r="AT100" s="2436"/>
      <c r="AU100" s="2436"/>
      <c r="AV100" s="2436"/>
      <c r="AW100" s="2436"/>
      <c r="AX100" s="2436"/>
      <c r="AY100" s="2436"/>
      <c r="AZ100" s="2436"/>
      <c r="BA100" s="2436"/>
      <c r="BB100" s="2437"/>
      <c r="BC100" s="1192"/>
      <c r="BD100" s="1192"/>
      <c r="BE100" s="1196"/>
      <c r="CM100" s="1190"/>
      <c r="CN100" s="1190"/>
      <c r="CO100" s="1190"/>
      <c r="CP100" s="1190"/>
    </row>
    <row r="101" spans="1:94" ht="15.75" customHeight="1" thickBot="1">
      <c r="A101" s="1192"/>
      <c r="B101" s="2387" t="s">
        <v>2370</v>
      </c>
      <c r="C101" s="2388"/>
      <c r="D101" s="2388"/>
      <c r="E101" s="2388"/>
      <c r="F101" s="2388"/>
      <c r="G101" s="2388"/>
      <c r="H101" s="2388"/>
      <c r="I101" s="2461">
        <v>0</v>
      </c>
      <c r="J101" s="2461"/>
      <c r="K101" s="2461"/>
      <c r="L101" s="2461"/>
      <c r="M101" s="2461"/>
      <c r="N101" s="2461"/>
      <c r="O101" s="2461">
        <v>0</v>
      </c>
      <c r="P101" s="2461"/>
      <c r="Q101" s="2461"/>
      <c r="R101" s="2461"/>
      <c r="S101" s="2461"/>
      <c r="T101" s="2461"/>
      <c r="U101" s="2461"/>
      <c r="V101" s="2461">
        <v>0</v>
      </c>
      <c r="W101" s="2461"/>
      <c r="X101" s="2461"/>
      <c r="Y101" s="2461"/>
      <c r="Z101" s="2461"/>
      <c r="AA101" s="2461"/>
      <c r="AB101" s="2461">
        <v>0</v>
      </c>
      <c r="AC101" s="2461"/>
      <c r="AD101" s="2461"/>
      <c r="AE101" s="2461"/>
      <c r="AF101" s="2461"/>
      <c r="AG101" s="2461"/>
      <c r="AH101" s="2462"/>
      <c r="AI101" s="1192"/>
      <c r="AJ101" s="2438"/>
      <c r="AK101" s="2439"/>
      <c r="AL101" s="2439"/>
      <c r="AM101" s="2439"/>
      <c r="AN101" s="2439"/>
      <c r="AO101" s="2439"/>
      <c r="AP101" s="2439"/>
      <c r="AQ101" s="2439"/>
      <c r="AR101" s="2439"/>
      <c r="AS101" s="2439"/>
      <c r="AT101" s="2439"/>
      <c r="AU101" s="2439"/>
      <c r="AV101" s="2439"/>
      <c r="AW101" s="2439"/>
      <c r="AX101" s="2439"/>
      <c r="AY101" s="2439"/>
      <c r="AZ101" s="2439"/>
      <c r="BA101" s="2439"/>
      <c r="BB101" s="2440"/>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463"/>
      <c r="G104" s="2464"/>
      <c r="H104" s="2464"/>
      <c r="I104" s="2464"/>
      <c r="J104" s="2464"/>
      <c r="K104" s="2464"/>
      <c r="L104" s="2464"/>
      <c r="M104" s="2464"/>
      <c r="N104" s="2464"/>
      <c r="O104" s="2464"/>
      <c r="P104" s="2464"/>
      <c r="Q104" s="2464"/>
      <c r="R104" s="2465"/>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427" t="str">
        <f>IFERROR(INDEX(BR96:BR98,MATCH(F104,$BQ$96:$BQ$98,0))/SUM($BR$96:$BR$98),"")</f>
        <v/>
      </c>
      <c r="P105" s="2428"/>
      <c r="Q105" s="2428"/>
      <c r="R105" s="2429"/>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415" t="s">
        <v>2375</v>
      </c>
      <c r="C107" s="2416"/>
      <c r="D107" s="2416"/>
      <c r="E107" s="2416"/>
      <c r="F107" s="2416"/>
      <c r="G107" s="2416"/>
      <c r="H107" s="2416"/>
      <c r="I107" s="2416"/>
      <c r="J107" s="2416"/>
      <c r="K107" s="2416"/>
      <c r="L107" s="2416"/>
      <c r="M107" s="2416"/>
      <c r="N107" s="2416"/>
      <c r="O107" s="2416"/>
      <c r="P107" s="2416"/>
      <c r="Q107" s="2416"/>
      <c r="R107" s="2416"/>
      <c r="S107" s="2416"/>
      <c r="T107" s="2416"/>
      <c r="U107" s="2416"/>
      <c r="V107" s="2416"/>
      <c r="W107" s="2416"/>
      <c r="X107" s="2416"/>
      <c r="Y107" s="2416"/>
      <c r="Z107" s="2416"/>
      <c r="AA107" s="2416"/>
      <c r="AB107" s="2416"/>
      <c r="AC107" s="2416"/>
      <c r="AD107" s="2416"/>
      <c r="AE107" s="2416"/>
      <c r="AF107" s="2416"/>
      <c r="AG107" s="2416"/>
      <c r="AH107" s="2466"/>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369"/>
      <c r="C108" s="2370"/>
      <c r="D108" s="2370"/>
      <c r="E108" s="2370"/>
      <c r="F108" s="2370"/>
      <c r="G108" s="2370"/>
      <c r="H108" s="2370"/>
      <c r="I108" s="2370" t="s">
        <v>2374</v>
      </c>
      <c r="J108" s="2370"/>
      <c r="K108" s="2370"/>
      <c r="L108" s="2370"/>
      <c r="M108" s="2370"/>
      <c r="N108" s="2370"/>
      <c r="O108" s="2370" t="s">
        <v>2350</v>
      </c>
      <c r="P108" s="2370"/>
      <c r="Q108" s="2370"/>
      <c r="R108" s="2370"/>
      <c r="S108" s="2370"/>
      <c r="T108" s="2370"/>
      <c r="U108" s="2370"/>
      <c r="V108" s="2456" t="s">
        <v>2349</v>
      </c>
      <c r="W108" s="2456"/>
      <c r="X108" s="2456"/>
      <c r="Y108" s="2456"/>
      <c r="Z108" s="2456"/>
      <c r="AA108" s="2456"/>
      <c r="AB108" s="2457" t="s">
        <v>2373</v>
      </c>
      <c r="AC108" s="2457"/>
      <c r="AD108" s="2457"/>
      <c r="AE108" s="2457"/>
      <c r="AF108" s="2457"/>
      <c r="AG108" s="2457"/>
      <c r="AH108" s="2458"/>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369"/>
      <c r="C109" s="2370"/>
      <c r="D109" s="2370"/>
      <c r="E109" s="2370"/>
      <c r="F109" s="2370"/>
      <c r="G109" s="2370"/>
      <c r="H109" s="2370"/>
      <c r="I109" s="2370"/>
      <c r="J109" s="2370"/>
      <c r="K109" s="2370"/>
      <c r="L109" s="2370"/>
      <c r="M109" s="2370"/>
      <c r="N109" s="2370"/>
      <c r="O109" s="2370"/>
      <c r="P109" s="2370"/>
      <c r="Q109" s="2370"/>
      <c r="R109" s="2370"/>
      <c r="S109" s="2370"/>
      <c r="T109" s="2370"/>
      <c r="U109" s="2370"/>
      <c r="V109" s="2456"/>
      <c r="W109" s="2456"/>
      <c r="X109" s="2456"/>
      <c r="Y109" s="2456"/>
      <c r="Z109" s="2456"/>
      <c r="AA109" s="2456"/>
      <c r="AB109" s="2457"/>
      <c r="AC109" s="2457"/>
      <c r="AD109" s="2457"/>
      <c r="AE109" s="2457"/>
      <c r="AF109" s="2457"/>
      <c r="AG109" s="2457"/>
      <c r="AH109" s="2458"/>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369" t="s">
        <v>2372</v>
      </c>
      <c r="C110" s="2370"/>
      <c r="D110" s="2370"/>
      <c r="E110" s="2370"/>
      <c r="F110" s="2370"/>
      <c r="G110" s="2370"/>
      <c r="H110" s="2370"/>
      <c r="I110" s="2446">
        <v>0</v>
      </c>
      <c r="J110" s="2446"/>
      <c r="K110" s="2446"/>
      <c r="L110" s="2446"/>
      <c r="M110" s="2446"/>
      <c r="N110" s="2446"/>
      <c r="O110" s="2446">
        <v>0</v>
      </c>
      <c r="P110" s="2446"/>
      <c r="Q110" s="2446"/>
      <c r="R110" s="2446"/>
      <c r="S110" s="2446"/>
      <c r="T110" s="2446"/>
      <c r="U110" s="2446"/>
      <c r="V110" s="2446">
        <v>0</v>
      </c>
      <c r="W110" s="2446"/>
      <c r="X110" s="2446"/>
      <c r="Y110" s="2446"/>
      <c r="Z110" s="2446"/>
      <c r="AA110" s="2446"/>
      <c r="AB110" s="2446">
        <v>0</v>
      </c>
      <c r="AC110" s="2446"/>
      <c r="AD110" s="2446"/>
      <c r="AE110" s="2446"/>
      <c r="AF110" s="2446"/>
      <c r="AG110" s="2446"/>
      <c r="AH110" s="2447"/>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369" t="s">
        <v>2371</v>
      </c>
      <c r="C111" s="2370"/>
      <c r="D111" s="2370"/>
      <c r="E111" s="2370"/>
      <c r="F111" s="2370"/>
      <c r="G111" s="2370"/>
      <c r="H111" s="2370"/>
      <c r="I111" s="2446">
        <v>0</v>
      </c>
      <c r="J111" s="2446"/>
      <c r="K111" s="2446"/>
      <c r="L111" s="2446"/>
      <c r="M111" s="2446"/>
      <c r="N111" s="2446"/>
      <c r="O111" s="2446">
        <v>0</v>
      </c>
      <c r="P111" s="2446"/>
      <c r="Q111" s="2446"/>
      <c r="R111" s="2446"/>
      <c r="S111" s="2446"/>
      <c r="T111" s="2446"/>
      <c r="U111" s="2446"/>
      <c r="V111" s="2446">
        <v>0</v>
      </c>
      <c r="W111" s="2446"/>
      <c r="X111" s="2446"/>
      <c r="Y111" s="2446"/>
      <c r="Z111" s="2446"/>
      <c r="AA111" s="2446"/>
      <c r="AB111" s="2446">
        <v>0</v>
      </c>
      <c r="AC111" s="2446"/>
      <c r="AD111" s="2446"/>
      <c r="AE111" s="2446"/>
      <c r="AF111" s="2446"/>
      <c r="AG111" s="2446"/>
      <c r="AH111" s="2447"/>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387" t="s">
        <v>2370</v>
      </c>
      <c r="C112" s="2388"/>
      <c r="D112" s="2388"/>
      <c r="E112" s="2388"/>
      <c r="F112" s="2388"/>
      <c r="G112" s="2388"/>
      <c r="H112" s="2388"/>
      <c r="I112" s="2461">
        <v>0</v>
      </c>
      <c r="J112" s="2461"/>
      <c r="K112" s="2461"/>
      <c r="L112" s="2461"/>
      <c r="M112" s="2461"/>
      <c r="N112" s="2461"/>
      <c r="O112" s="2461">
        <v>0</v>
      </c>
      <c r="P112" s="2461"/>
      <c r="Q112" s="2461"/>
      <c r="R112" s="2461"/>
      <c r="S112" s="2461"/>
      <c r="T112" s="2461"/>
      <c r="U112" s="2461"/>
      <c r="V112" s="2461">
        <v>0</v>
      </c>
      <c r="W112" s="2461"/>
      <c r="X112" s="2461"/>
      <c r="Y112" s="2461"/>
      <c r="Z112" s="2461"/>
      <c r="AA112" s="2461"/>
      <c r="AB112" s="2461">
        <v>0</v>
      </c>
      <c r="AC112" s="2461"/>
      <c r="AD112" s="2461"/>
      <c r="AE112" s="2461"/>
      <c r="AF112" s="2461"/>
      <c r="AG112" s="2461"/>
      <c r="AH112" s="2462"/>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467"/>
      <c r="G115" s="2468"/>
      <c r="H115" s="2468"/>
      <c r="I115" s="2468"/>
      <c r="J115" s="2468"/>
      <c r="K115" s="2468"/>
      <c r="L115" s="2468"/>
      <c r="M115" s="2468"/>
      <c r="N115" s="2468"/>
      <c r="O115" s="2468"/>
      <c r="P115" s="2468"/>
      <c r="Q115" s="2468"/>
      <c r="R115" s="2469"/>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478" t="s">
        <v>2368</v>
      </c>
      <c r="C117" s="2479"/>
      <c r="D117" s="2479"/>
      <c r="E117" s="2479"/>
      <c r="F117" s="2479"/>
      <c r="G117" s="2479"/>
      <c r="H117" s="2479"/>
      <c r="I117" s="2479"/>
      <c r="J117" s="2479"/>
      <c r="K117" s="2479"/>
      <c r="L117" s="2479"/>
      <c r="M117" s="2479"/>
      <c r="N117" s="2479"/>
      <c r="O117" s="2479"/>
      <c r="P117" s="2479"/>
      <c r="Q117" s="2479"/>
      <c r="R117" s="2479"/>
      <c r="S117" s="2479"/>
      <c r="T117" s="2479"/>
      <c r="U117" s="2482" t="s">
        <v>545</v>
      </c>
      <c r="V117" s="2482"/>
      <c r="W117" s="2482"/>
      <c r="X117" s="2483"/>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480"/>
      <c r="C118" s="2481"/>
      <c r="D118" s="2481"/>
      <c r="E118" s="2481"/>
      <c r="F118" s="2481"/>
      <c r="G118" s="2481"/>
      <c r="H118" s="2481"/>
      <c r="I118" s="2481"/>
      <c r="J118" s="2481"/>
      <c r="K118" s="2481"/>
      <c r="L118" s="2481"/>
      <c r="M118" s="2481"/>
      <c r="N118" s="2481"/>
      <c r="O118" s="2481"/>
      <c r="P118" s="2481"/>
      <c r="Q118" s="2481"/>
      <c r="R118" s="2481"/>
      <c r="S118" s="2481"/>
      <c r="T118" s="2481"/>
      <c r="U118" s="2484"/>
      <c r="V118" s="2484"/>
      <c r="W118" s="2484"/>
      <c r="X118" s="2485"/>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480"/>
      <c r="C119" s="2481"/>
      <c r="D119" s="2481"/>
      <c r="E119" s="2481"/>
      <c r="F119" s="2481"/>
      <c r="G119" s="2481"/>
      <c r="H119" s="2481"/>
      <c r="I119" s="2481"/>
      <c r="J119" s="2481"/>
      <c r="K119" s="2481"/>
      <c r="L119" s="2481"/>
      <c r="M119" s="2481"/>
      <c r="N119" s="2481"/>
      <c r="O119" s="2481"/>
      <c r="P119" s="2481"/>
      <c r="Q119" s="2481"/>
      <c r="R119" s="2481"/>
      <c r="S119" s="2481"/>
      <c r="T119" s="2481"/>
      <c r="U119" s="2484"/>
      <c r="V119" s="2484"/>
      <c r="W119" s="2484"/>
      <c r="X119" s="2485"/>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480"/>
      <c r="C120" s="2481"/>
      <c r="D120" s="2481"/>
      <c r="E120" s="2481"/>
      <c r="F120" s="2481"/>
      <c r="G120" s="2481"/>
      <c r="H120" s="2481"/>
      <c r="I120" s="2481"/>
      <c r="J120" s="2481"/>
      <c r="K120" s="2481"/>
      <c r="L120" s="2481"/>
      <c r="M120" s="2481"/>
      <c r="N120" s="2481"/>
      <c r="O120" s="2481"/>
      <c r="P120" s="2481"/>
      <c r="Q120" s="2481"/>
      <c r="R120" s="2481"/>
      <c r="S120" s="2481"/>
      <c r="T120" s="2481"/>
      <c r="U120" s="2484"/>
      <c r="V120" s="2484"/>
      <c r="W120" s="2484"/>
      <c r="X120" s="2485"/>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486" t="s">
        <v>2368</v>
      </c>
      <c r="C121" s="2487"/>
      <c r="D121" s="2487"/>
      <c r="E121" s="2487"/>
      <c r="F121" s="2487"/>
      <c r="G121" s="2487"/>
      <c r="H121" s="2487"/>
      <c r="I121" s="2487"/>
      <c r="J121" s="2487"/>
      <c r="K121" s="2487"/>
      <c r="L121" s="2487"/>
      <c r="M121" s="2487"/>
      <c r="N121" s="2487"/>
      <c r="O121" s="2487"/>
      <c r="P121" s="2487"/>
      <c r="Q121" s="2487"/>
      <c r="R121" s="2487"/>
      <c r="S121" s="2487"/>
      <c r="T121" s="2487"/>
      <c r="U121" s="2490" t="s">
        <v>545</v>
      </c>
      <c r="V121" s="2490"/>
      <c r="W121" s="2490"/>
      <c r="X121" s="2491"/>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488"/>
      <c r="C122" s="2489"/>
      <c r="D122" s="2489"/>
      <c r="E122" s="2489"/>
      <c r="F122" s="2489"/>
      <c r="G122" s="2489"/>
      <c r="H122" s="2489"/>
      <c r="I122" s="2489"/>
      <c r="J122" s="2489"/>
      <c r="K122" s="2489"/>
      <c r="L122" s="2489"/>
      <c r="M122" s="2489"/>
      <c r="N122" s="2489"/>
      <c r="O122" s="2489"/>
      <c r="P122" s="2489"/>
      <c r="Q122" s="2489"/>
      <c r="R122" s="2489"/>
      <c r="S122" s="2489"/>
      <c r="T122" s="2489"/>
      <c r="U122" s="2492"/>
      <c r="V122" s="2492"/>
      <c r="W122" s="2492"/>
      <c r="X122" s="2493"/>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448" t="s">
        <v>2366</v>
      </c>
      <c r="Y125" s="2449"/>
      <c r="Z125" s="2449"/>
      <c r="AA125" s="2449"/>
      <c r="AB125" s="2449"/>
      <c r="AC125" s="2449"/>
      <c r="AD125" s="2449"/>
      <c r="AE125" s="2449"/>
      <c r="AF125" s="2449"/>
      <c r="AG125" s="2449"/>
      <c r="AH125" s="2449"/>
      <c r="AI125" s="2449"/>
      <c r="AJ125" s="2449"/>
      <c r="AK125" s="2449"/>
      <c r="AL125" s="2449"/>
      <c r="AM125" s="2449"/>
      <c r="AN125" s="2449"/>
      <c r="AO125" s="2449"/>
      <c r="AP125" s="2449"/>
      <c r="AQ125" s="2449"/>
      <c r="AR125" s="2449"/>
      <c r="AS125" s="2449"/>
      <c r="AT125" s="2449"/>
      <c r="AU125" s="2449"/>
      <c r="AV125" s="2449"/>
      <c r="AW125" s="2449"/>
      <c r="AX125" s="2449"/>
      <c r="AY125" s="2449"/>
      <c r="AZ125" s="2449"/>
      <c r="BA125" s="2449"/>
      <c r="BB125" s="2449"/>
      <c r="BC125" s="2449"/>
      <c r="BD125" s="2494"/>
      <c r="BE125" s="1196"/>
    </row>
    <row r="126" spans="1:57" ht="15.75" customHeight="1">
      <c r="A126" s="1192"/>
      <c r="B126" s="2496" t="s">
        <v>1576</v>
      </c>
      <c r="C126" s="2497"/>
      <c r="D126" s="2497"/>
      <c r="E126" s="2497"/>
      <c r="F126" s="2497"/>
      <c r="G126" s="2497"/>
      <c r="H126" s="2497"/>
      <c r="I126" s="2497"/>
      <c r="J126" s="2497"/>
      <c r="K126" s="2497"/>
      <c r="L126" s="2497"/>
      <c r="M126" s="2497"/>
      <c r="N126" s="2497"/>
      <c r="O126" s="2497"/>
      <c r="P126" s="2497"/>
      <c r="Q126" s="2497"/>
      <c r="R126" s="2497"/>
      <c r="S126" s="2497"/>
      <c r="T126" s="2497"/>
      <c r="U126" s="2498"/>
      <c r="V126" s="1192"/>
      <c r="W126" s="1192"/>
      <c r="X126" s="2450"/>
      <c r="Y126" s="2451"/>
      <c r="Z126" s="2451"/>
      <c r="AA126" s="2451"/>
      <c r="AB126" s="2451"/>
      <c r="AC126" s="2451"/>
      <c r="AD126" s="2451"/>
      <c r="AE126" s="2451"/>
      <c r="AF126" s="2451"/>
      <c r="AG126" s="2451"/>
      <c r="AH126" s="2451"/>
      <c r="AI126" s="2451"/>
      <c r="AJ126" s="2451"/>
      <c r="AK126" s="2451"/>
      <c r="AL126" s="2451"/>
      <c r="AM126" s="2451"/>
      <c r="AN126" s="2451"/>
      <c r="AO126" s="2451"/>
      <c r="AP126" s="2451"/>
      <c r="AQ126" s="2451"/>
      <c r="AR126" s="2451"/>
      <c r="AS126" s="2451"/>
      <c r="AT126" s="2451"/>
      <c r="AU126" s="2451"/>
      <c r="AV126" s="2451"/>
      <c r="AW126" s="2451"/>
      <c r="AX126" s="2451"/>
      <c r="AY126" s="2451"/>
      <c r="AZ126" s="2451"/>
      <c r="BA126" s="2451"/>
      <c r="BB126" s="2451"/>
      <c r="BC126" s="2451"/>
      <c r="BD126" s="2495"/>
      <c r="BE126" s="1196"/>
    </row>
    <row r="127" spans="1:57" ht="15.75" customHeight="1">
      <c r="A127" s="1192"/>
      <c r="B127" s="2514"/>
      <c r="C127" s="2515"/>
      <c r="D127" s="2515"/>
      <c r="E127" s="2515"/>
      <c r="F127" s="2515"/>
      <c r="G127" s="2515"/>
      <c r="H127" s="2515"/>
      <c r="I127" s="2370" t="s">
        <v>2365</v>
      </c>
      <c r="J127" s="2370"/>
      <c r="K127" s="2370"/>
      <c r="L127" s="2370"/>
      <c r="M127" s="2370"/>
      <c r="N127" s="2370"/>
      <c r="O127" s="2470" t="s">
        <v>2364</v>
      </c>
      <c r="P127" s="2470"/>
      <c r="Q127" s="2470"/>
      <c r="R127" s="2470"/>
      <c r="S127" s="2470"/>
      <c r="T127" s="2470"/>
      <c r="U127" s="2471"/>
      <c r="V127" s="1192"/>
      <c r="W127" s="1192"/>
      <c r="X127" s="2435" t="s">
        <v>2334</v>
      </c>
      <c r="Y127" s="2436"/>
      <c r="Z127" s="2436"/>
      <c r="AA127" s="2436"/>
      <c r="AB127" s="2436"/>
      <c r="AC127" s="2436"/>
      <c r="AD127" s="2436"/>
      <c r="AE127" s="2436"/>
      <c r="AF127" s="2436"/>
      <c r="AG127" s="2436"/>
      <c r="AH127" s="2436"/>
      <c r="AI127" s="2436"/>
      <c r="AJ127" s="2436"/>
      <c r="AK127" s="2436"/>
      <c r="AL127" s="2436"/>
      <c r="AM127" s="2436"/>
      <c r="AN127" s="2436"/>
      <c r="AO127" s="2436"/>
      <c r="AP127" s="2436"/>
      <c r="AQ127" s="2436"/>
      <c r="AR127" s="2436"/>
      <c r="AS127" s="2436"/>
      <c r="AT127" s="2436"/>
      <c r="AU127" s="2436"/>
      <c r="AV127" s="2436"/>
      <c r="AW127" s="2436"/>
      <c r="AX127" s="2436"/>
      <c r="AY127" s="2436"/>
      <c r="AZ127" s="2436"/>
      <c r="BA127" s="2436"/>
      <c r="BB127" s="2436"/>
      <c r="BC127" s="2436"/>
      <c r="BD127" s="2437"/>
      <c r="BE127" s="1196"/>
    </row>
    <row r="128" spans="1:57" ht="15.75" customHeight="1">
      <c r="A128" s="1192"/>
      <c r="B128" s="2472" t="s">
        <v>2348</v>
      </c>
      <c r="C128" s="2473"/>
      <c r="D128" s="2473"/>
      <c r="E128" s="2473"/>
      <c r="F128" s="2473"/>
      <c r="G128" s="2473"/>
      <c r="H128" s="2473"/>
      <c r="I128" s="2446">
        <v>0</v>
      </c>
      <c r="J128" s="2446"/>
      <c r="K128" s="2446"/>
      <c r="L128" s="2446"/>
      <c r="M128" s="2446"/>
      <c r="N128" s="2446"/>
      <c r="O128" s="2446">
        <v>0</v>
      </c>
      <c r="P128" s="2446"/>
      <c r="Q128" s="2446"/>
      <c r="R128" s="2446"/>
      <c r="S128" s="2446"/>
      <c r="T128" s="2446"/>
      <c r="U128" s="2447"/>
      <c r="V128" s="1192"/>
      <c r="W128" s="1192"/>
      <c r="X128" s="2435"/>
      <c r="Y128" s="2436"/>
      <c r="Z128" s="2436"/>
      <c r="AA128" s="2436"/>
      <c r="AB128" s="2436"/>
      <c r="AC128" s="2436"/>
      <c r="AD128" s="2436"/>
      <c r="AE128" s="2436"/>
      <c r="AF128" s="2436"/>
      <c r="AG128" s="2436"/>
      <c r="AH128" s="2436"/>
      <c r="AI128" s="2436"/>
      <c r="AJ128" s="2436"/>
      <c r="AK128" s="2436"/>
      <c r="AL128" s="2436"/>
      <c r="AM128" s="2436"/>
      <c r="AN128" s="2436"/>
      <c r="AO128" s="2436"/>
      <c r="AP128" s="2436"/>
      <c r="AQ128" s="2436"/>
      <c r="AR128" s="2436"/>
      <c r="AS128" s="2436"/>
      <c r="AT128" s="2436"/>
      <c r="AU128" s="2436"/>
      <c r="AV128" s="2436"/>
      <c r="AW128" s="2436"/>
      <c r="AX128" s="2436"/>
      <c r="AY128" s="2436"/>
      <c r="AZ128" s="2436"/>
      <c r="BA128" s="2436"/>
      <c r="BB128" s="2436"/>
      <c r="BC128" s="2436"/>
      <c r="BD128" s="2437"/>
      <c r="BE128" s="1196"/>
    </row>
    <row r="129" spans="1:57" ht="15.75" customHeight="1" thickBot="1">
      <c r="A129" s="1192"/>
      <c r="B129" s="2474" t="s">
        <v>2347</v>
      </c>
      <c r="C129" s="2475"/>
      <c r="D129" s="2475"/>
      <c r="E129" s="2475"/>
      <c r="F129" s="2475"/>
      <c r="G129" s="2475"/>
      <c r="H129" s="2475"/>
      <c r="I129" s="2461">
        <v>0</v>
      </c>
      <c r="J129" s="2461"/>
      <c r="K129" s="2461"/>
      <c r="L129" s="2461"/>
      <c r="M129" s="2461"/>
      <c r="N129" s="2461"/>
      <c r="O129" s="2476"/>
      <c r="P129" s="2476"/>
      <c r="Q129" s="2476"/>
      <c r="R129" s="2476"/>
      <c r="S129" s="2476"/>
      <c r="T129" s="2476"/>
      <c r="U129" s="2477"/>
      <c r="V129" s="1192"/>
      <c r="W129" s="1192"/>
      <c r="X129" s="2435"/>
      <c r="Y129" s="2436"/>
      <c r="Z129" s="2436"/>
      <c r="AA129" s="2436"/>
      <c r="AB129" s="2436"/>
      <c r="AC129" s="2436"/>
      <c r="AD129" s="2436"/>
      <c r="AE129" s="2436"/>
      <c r="AF129" s="2436"/>
      <c r="AG129" s="2436"/>
      <c r="AH129" s="2436"/>
      <c r="AI129" s="2436"/>
      <c r="AJ129" s="2436"/>
      <c r="AK129" s="2436"/>
      <c r="AL129" s="2436"/>
      <c r="AM129" s="2436"/>
      <c r="AN129" s="2436"/>
      <c r="AO129" s="2436"/>
      <c r="AP129" s="2436"/>
      <c r="AQ129" s="2436"/>
      <c r="AR129" s="2436"/>
      <c r="AS129" s="2436"/>
      <c r="AT129" s="2436"/>
      <c r="AU129" s="2436"/>
      <c r="AV129" s="2436"/>
      <c r="AW129" s="2436"/>
      <c r="AX129" s="2436"/>
      <c r="AY129" s="2436"/>
      <c r="AZ129" s="2436"/>
      <c r="BA129" s="2436"/>
      <c r="BB129" s="2436"/>
      <c r="BC129" s="2436"/>
      <c r="BD129" s="2437"/>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435"/>
      <c r="Y130" s="2436"/>
      <c r="Z130" s="2436"/>
      <c r="AA130" s="2436"/>
      <c r="AB130" s="2436"/>
      <c r="AC130" s="2436"/>
      <c r="AD130" s="2436"/>
      <c r="AE130" s="2436"/>
      <c r="AF130" s="2436"/>
      <c r="AG130" s="2436"/>
      <c r="AH130" s="2436"/>
      <c r="AI130" s="2436"/>
      <c r="AJ130" s="2436"/>
      <c r="AK130" s="2436"/>
      <c r="AL130" s="2436"/>
      <c r="AM130" s="2436"/>
      <c r="AN130" s="2436"/>
      <c r="AO130" s="2436"/>
      <c r="AP130" s="2436"/>
      <c r="AQ130" s="2436"/>
      <c r="AR130" s="2436"/>
      <c r="AS130" s="2436"/>
      <c r="AT130" s="2436"/>
      <c r="AU130" s="2436"/>
      <c r="AV130" s="2436"/>
      <c r="AW130" s="2436"/>
      <c r="AX130" s="2436"/>
      <c r="AY130" s="2436"/>
      <c r="AZ130" s="2436"/>
      <c r="BA130" s="2436"/>
      <c r="BB130" s="2436"/>
      <c r="BC130" s="2436"/>
      <c r="BD130" s="2437"/>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435"/>
      <c r="Y131" s="2436"/>
      <c r="Z131" s="2436"/>
      <c r="AA131" s="2436"/>
      <c r="AB131" s="2436"/>
      <c r="AC131" s="2436"/>
      <c r="AD131" s="2436"/>
      <c r="AE131" s="2436"/>
      <c r="AF131" s="2436"/>
      <c r="AG131" s="2436"/>
      <c r="AH131" s="2436"/>
      <c r="AI131" s="2436"/>
      <c r="AJ131" s="2436"/>
      <c r="AK131" s="2436"/>
      <c r="AL131" s="2436"/>
      <c r="AM131" s="2436"/>
      <c r="AN131" s="2436"/>
      <c r="AO131" s="2436"/>
      <c r="AP131" s="2436"/>
      <c r="AQ131" s="2436"/>
      <c r="AR131" s="2436"/>
      <c r="AS131" s="2436"/>
      <c r="AT131" s="2436"/>
      <c r="AU131" s="2436"/>
      <c r="AV131" s="2436"/>
      <c r="AW131" s="2436"/>
      <c r="AX131" s="2436"/>
      <c r="AY131" s="2436"/>
      <c r="AZ131" s="2436"/>
      <c r="BA131" s="2436"/>
      <c r="BB131" s="2436"/>
      <c r="BC131" s="2436"/>
      <c r="BD131" s="2437"/>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435"/>
      <c r="Y132" s="2436"/>
      <c r="Z132" s="2436"/>
      <c r="AA132" s="2436"/>
      <c r="AB132" s="2436"/>
      <c r="AC132" s="2436"/>
      <c r="AD132" s="2436"/>
      <c r="AE132" s="2436"/>
      <c r="AF132" s="2436"/>
      <c r="AG132" s="2436"/>
      <c r="AH132" s="2436"/>
      <c r="AI132" s="2436"/>
      <c r="AJ132" s="2436"/>
      <c r="AK132" s="2436"/>
      <c r="AL132" s="2436"/>
      <c r="AM132" s="2436"/>
      <c r="AN132" s="2436"/>
      <c r="AO132" s="2436"/>
      <c r="AP132" s="2436"/>
      <c r="AQ132" s="2436"/>
      <c r="AR132" s="2436"/>
      <c r="AS132" s="2436"/>
      <c r="AT132" s="2436"/>
      <c r="AU132" s="2436"/>
      <c r="AV132" s="2436"/>
      <c r="AW132" s="2436"/>
      <c r="AX132" s="2436"/>
      <c r="AY132" s="2436"/>
      <c r="AZ132" s="2436"/>
      <c r="BA132" s="2436"/>
      <c r="BB132" s="2436"/>
      <c r="BC132" s="2436"/>
      <c r="BD132" s="2437"/>
      <c r="BE132" s="1196"/>
    </row>
    <row r="133" spans="1:57" ht="15.75" customHeight="1">
      <c r="A133" s="1192"/>
      <c r="B133" s="2271" t="s">
        <v>2362</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192"/>
      <c r="W133" s="1192"/>
      <c r="X133" s="2435"/>
      <c r="Y133" s="2436"/>
      <c r="Z133" s="2436"/>
      <c r="AA133" s="2436"/>
      <c r="AB133" s="2436"/>
      <c r="AC133" s="2436"/>
      <c r="AD133" s="2436"/>
      <c r="AE133" s="2436"/>
      <c r="AF133" s="2436"/>
      <c r="AG133" s="2436"/>
      <c r="AH133" s="2436"/>
      <c r="AI133" s="2436"/>
      <c r="AJ133" s="2436"/>
      <c r="AK133" s="2436"/>
      <c r="AL133" s="2436"/>
      <c r="AM133" s="2436"/>
      <c r="AN133" s="2436"/>
      <c r="AO133" s="2436"/>
      <c r="AP133" s="2436"/>
      <c r="AQ133" s="2436"/>
      <c r="AR133" s="2436"/>
      <c r="AS133" s="2436"/>
      <c r="AT133" s="2436"/>
      <c r="AU133" s="2436"/>
      <c r="AV133" s="2436"/>
      <c r="AW133" s="2436"/>
      <c r="AX133" s="2436"/>
      <c r="AY133" s="2436"/>
      <c r="AZ133" s="2436"/>
      <c r="BA133" s="2436"/>
      <c r="BB133" s="2436"/>
      <c r="BC133" s="2436"/>
      <c r="BD133" s="2437"/>
      <c r="BE133" s="1196"/>
    </row>
    <row r="134" spans="1:57" ht="15.75" customHeight="1">
      <c r="A134" s="1192"/>
      <c r="B134" s="2514"/>
      <c r="C134" s="2515"/>
      <c r="D134" s="2515"/>
      <c r="E134" s="2515"/>
      <c r="F134" s="2515"/>
      <c r="G134" s="2515"/>
      <c r="H134" s="2515"/>
      <c r="I134" s="2516" t="s">
        <v>2350</v>
      </c>
      <c r="J134" s="2516"/>
      <c r="K134" s="2516"/>
      <c r="L134" s="2516"/>
      <c r="M134" s="2516"/>
      <c r="N134" s="2516"/>
      <c r="O134" s="2516"/>
      <c r="P134" s="2516" t="s">
        <v>2349</v>
      </c>
      <c r="Q134" s="2516"/>
      <c r="R134" s="2516"/>
      <c r="S134" s="2516"/>
      <c r="T134" s="2516"/>
      <c r="U134" s="2517"/>
      <c r="V134" s="1192"/>
      <c r="W134" s="1192"/>
      <c r="X134" s="2435"/>
      <c r="Y134" s="2436"/>
      <c r="Z134" s="2436"/>
      <c r="AA134" s="2436"/>
      <c r="AB134" s="2436"/>
      <c r="AC134" s="2436"/>
      <c r="AD134" s="2436"/>
      <c r="AE134" s="2436"/>
      <c r="AF134" s="2436"/>
      <c r="AG134" s="2436"/>
      <c r="AH134" s="2436"/>
      <c r="AI134" s="2436"/>
      <c r="AJ134" s="2436"/>
      <c r="AK134" s="2436"/>
      <c r="AL134" s="2436"/>
      <c r="AM134" s="2436"/>
      <c r="AN134" s="2436"/>
      <c r="AO134" s="2436"/>
      <c r="AP134" s="2436"/>
      <c r="AQ134" s="2436"/>
      <c r="AR134" s="2436"/>
      <c r="AS134" s="2436"/>
      <c r="AT134" s="2436"/>
      <c r="AU134" s="2436"/>
      <c r="AV134" s="2436"/>
      <c r="AW134" s="2436"/>
      <c r="AX134" s="2436"/>
      <c r="AY134" s="2436"/>
      <c r="AZ134" s="2436"/>
      <c r="BA134" s="2436"/>
      <c r="BB134" s="2436"/>
      <c r="BC134" s="2436"/>
      <c r="BD134" s="2437"/>
      <c r="BE134" s="1196"/>
    </row>
    <row r="135" spans="1:57" ht="15.75" customHeight="1">
      <c r="A135" s="1192"/>
      <c r="B135" s="2514"/>
      <c r="C135" s="2515"/>
      <c r="D135" s="2515"/>
      <c r="E135" s="2515"/>
      <c r="F135" s="2515"/>
      <c r="G135" s="2515"/>
      <c r="H135" s="2515"/>
      <c r="I135" s="2516"/>
      <c r="J135" s="2516"/>
      <c r="K135" s="2516"/>
      <c r="L135" s="2516"/>
      <c r="M135" s="2516"/>
      <c r="N135" s="2516"/>
      <c r="O135" s="2516"/>
      <c r="P135" s="2516"/>
      <c r="Q135" s="2516"/>
      <c r="R135" s="2516"/>
      <c r="S135" s="2516"/>
      <c r="T135" s="2516"/>
      <c r="U135" s="2517"/>
      <c r="V135" s="1192"/>
      <c r="W135" s="1192"/>
      <c r="X135" s="2435"/>
      <c r="Y135" s="2436"/>
      <c r="Z135" s="2436"/>
      <c r="AA135" s="2436"/>
      <c r="AB135" s="2436"/>
      <c r="AC135" s="2436"/>
      <c r="AD135" s="2436"/>
      <c r="AE135" s="2436"/>
      <c r="AF135" s="2436"/>
      <c r="AG135" s="2436"/>
      <c r="AH135" s="2436"/>
      <c r="AI135" s="2436"/>
      <c r="AJ135" s="2436"/>
      <c r="AK135" s="2436"/>
      <c r="AL135" s="2436"/>
      <c r="AM135" s="2436"/>
      <c r="AN135" s="2436"/>
      <c r="AO135" s="2436"/>
      <c r="AP135" s="2436"/>
      <c r="AQ135" s="2436"/>
      <c r="AR135" s="2436"/>
      <c r="AS135" s="2436"/>
      <c r="AT135" s="2436"/>
      <c r="AU135" s="2436"/>
      <c r="AV135" s="2436"/>
      <c r="AW135" s="2436"/>
      <c r="AX135" s="2436"/>
      <c r="AY135" s="2436"/>
      <c r="AZ135" s="2436"/>
      <c r="BA135" s="2436"/>
      <c r="BB135" s="2436"/>
      <c r="BC135" s="2436"/>
      <c r="BD135" s="2437"/>
      <c r="BE135" s="1196"/>
    </row>
    <row r="136" spans="1:57" ht="15.75" customHeight="1">
      <c r="A136" s="1192"/>
      <c r="B136" s="2472" t="s">
        <v>2348</v>
      </c>
      <c r="C136" s="2473"/>
      <c r="D136" s="2473"/>
      <c r="E136" s="2473"/>
      <c r="F136" s="2473"/>
      <c r="G136" s="2473"/>
      <c r="H136" s="2473"/>
      <c r="I136" s="2446">
        <v>0</v>
      </c>
      <c r="J136" s="2446"/>
      <c r="K136" s="2446"/>
      <c r="L136" s="2446"/>
      <c r="M136" s="2446"/>
      <c r="N136" s="2446"/>
      <c r="O136" s="2446"/>
      <c r="P136" s="2446">
        <v>0</v>
      </c>
      <c r="Q136" s="2446"/>
      <c r="R136" s="2446"/>
      <c r="S136" s="2446"/>
      <c r="T136" s="2446"/>
      <c r="U136" s="2447"/>
      <c r="V136" s="1192"/>
      <c r="W136" s="1192"/>
      <c r="X136" s="2435"/>
      <c r="Y136" s="2436"/>
      <c r="Z136" s="2436"/>
      <c r="AA136" s="2436"/>
      <c r="AB136" s="2436"/>
      <c r="AC136" s="2436"/>
      <c r="AD136" s="2436"/>
      <c r="AE136" s="2436"/>
      <c r="AF136" s="2436"/>
      <c r="AG136" s="2436"/>
      <c r="AH136" s="2436"/>
      <c r="AI136" s="2436"/>
      <c r="AJ136" s="2436"/>
      <c r="AK136" s="2436"/>
      <c r="AL136" s="2436"/>
      <c r="AM136" s="2436"/>
      <c r="AN136" s="2436"/>
      <c r="AO136" s="2436"/>
      <c r="AP136" s="2436"/>
      <c r="AQ136" s="2436"/>
      <c r="AR136" s="2436"/>
      <c r="AS136" s="2436"/>
      <c r="AT136" s="2436"/>
      <c r="AU136" s="2436"/>
      <c r="AV136" s="2436"/>
      <c r="AW136" s="2436"/>
      <c r="AX136" s="2436"/>
      <c r="AY136" s="2436"/>
      <c r="AZ136" s="2436"/>
      <c r="BA136" s="2436"/>
      <c r="BB136" s="2436"/>
      <c r="BC136" s="2436"/>
      <c r="BD136" s="2437"/>
      <c r="BE136" s="1196"/>
    </row>
    <row r="137" spans="1:57" ht="15.75" customHeight="1" thickBot="1">
      <c r="A137" s="1192"/>
      <c r="B137" s="2474" t="s">
        <v>2347</v>
      </c>
      <c r="C137" s="2475"/>
      <c r="D137" s="2475"/>
      <c r="E137" s="2475"/>
      <c r="F137" s="2475"/>
      <c r="G137" s="2475"/>
      <c r="H137" s="2475"/>
      <c r="I137" s="2461">
        <v>0</v>
      </c>
      <c r="J137" s="2461"/>
      <c r="K137" s="2461"/>
      <c r="L137" s="2461"/>
      <c r="M137" s="2461"/>
      <c r="N137" s="2461"/>
      <c r="O137" s="2461"/>
      <c r="P137" s="2461">
        <v>0</v>
      </c>
      <c r="Q137" s="2461"/>
      <c r="R137" s="2461"/>
      <c r="S137" s="2461"/>
      <c r="T137" s="2461"/>
      <c r="U137" s="2462"/>
      <c r="V137" s="1192"/>
      <c r="W137" s="1192"/>
      <c r="X137" s="2438"/>
      <c r="Y137" s="2439"/>
      <c r="Z137" s="2439"/>
      <c r="AA137" s="2439"/>
      <c r="AB137" s="2439"/>
      <c r="AC137" s="2439"/>
      <c r="AD137" s="2439"/>
      <c r="AE137" s="2439"/>
      <c r="AF137" s="2439"/>
      <c r="AG137" s="2439"/>
      <c r="AH137" s="2439"/>
      <c r="AI137" s="2439"/>
      <c r="AJ137" s="2439"/>
      <c r="AK137" s="2439"/>
      <c r="AL137" s="2439"/>
      <c r="AM137" s="2439"/>
      <c r="AN137" s="2439"/>
      <c r="AO137" s="2439"/>
      <c r="AP137" s="2439"/>
      <c r="AQ137" s="2439"/>
      <c r="AR137" s="2439"/>
      <c r="AS137" s="2439"/>
      <c r="AT137" s="2439"/>
      <c r="AU137" s="2439"/>
      <c r="AV137" s="2439"/>
      <c r="AW137" s="2439"/>
      <c r="AX137" s="2439"/>
      <c r="AY137" s="2439"/>
      <c r="AZ137" s="2439"/>
      <c r="BA137" s="2439"/>
      <c r="BB137" s="2439"/>
      <c r="BC137" s="2439"/>
      <c r="BD137" s="2440"/>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512" t="s">
        <v>2361</v>
      </c>
      <c r="C139" s="2513"/>
      <c r="D139" s="2513"/>
      <c r="E139" s="2513"/>
      <c r="F139" s="2513"/>
      <c r="G139" s="2513"/>
      <c r="H139" s="2513"/>
      <c r="I139" s="2513"/>
      <c r="J139" s="2513"/>
      <c r="K139" s="2513"/>
      <c r="L139" s="2513"/>
      <c r="M139" s="2513"/>
      <c r="N139" s="2513"/>
      <c r="O139" s="2513"/>
      <c r="P139" s="2513"/>
      <c r="Q139" s="2513"/>
      <c r="R139" s="2513"/>
      <c r="S139" s="2513"/>
      <c r="T139" s="2513"/>
      <c r="U139" s="2513"/>
      <c r="V139" s="2513"/>
      <c r="W139" s="2513"/>
      <c r="X139" s="2513"/>
      <c r="Y139" s="2513"/>
      <c r="Z139" s="2513"/>
      <c r="AA139" s="2513"/>
      <c r="AB139" s="2513"/>
      <c r="AC139" s="2513"/>
      <c r="AD139" s="2513"/>
      <c r="AE139" s="2513"/>
      <c r="AF139" s="2513"/>
      <c r="AG139" s="2513"/>
      <c r="AH139" s="2394" t="s">
        <v>545</v>
      </c>
      <c r="AI139" s="2394"/>
      <c r="AJ139" s="2394"/>
      <c r="AK139" s="2394"/>
      <c r="AL139" s="2394"/>
      <c r="AM139" s="2394"/>
      <c r="AN139" s="2394"/>
      <c r="AO139" s="2394"/>
      <c r="AP139" s="2394"/>
      <c r="AQ139" s="2394"/>
      <c r="AR139" s="2394"/>
      <c r="AS139" s="2394"/>
      <c r="AT139" s="2394"/>
      <c r="AU139" s="2394"/>
      <c r="AV139" s="2394"/>
      <c r="AW139" s="2394"/>
      <c r="AX139" s="2395"/>
      <c r="AY139" s="1192"/>
      <c r="AZ139" s="1192"/>
      <c r="BA139" s="1192"/>
      <c r="BB139" s="1192"/>
      <c r="BC139" s="1192"/>
      <c r="BD139" s="1192"/>
      <c r="BE139" s="1196"/>
    </row>
    <row r="140" spans="1:57" ht="15.75" customHeight="1" thickBot="1">
      <c r="A140" s="1192"/>
      <c r="B140" s="2499" t="s">
        <v>2360</v>
      </c>
      <c r="C140" s="2500"/>
      <c r="D140" s="2500"/>
      <c r="E140" s="2500"/>
      <c r="F140" s="2500"/>
      <c r="G140" s="2500"/>
      <c r="H140" s="2500"/>
      <c r="I140" s="2500"/>
      <c r="J140" s="2500"/>
      <c r="K140" s="2500"/>
      <c r="L140" s="2500"/>
      <c r="M140" s="2500"/>
      <c r="N140" s="2500"/>
      <c r="O140" s="2500"/>
      <c r="P140" s="2500"/>
      <c r="Q140" s="2500"/>
      <c r="R140" s="2500"/>
      <c r="S140" s="2500"/>
      <c r="T140" s="2500"/>
      <c r="U140" s="2500"/>
      <c r="V140" s="2500"/>
      <c r="W140" s="2500"/>
      <c r="X140" s="2500"/>
      <c r="Y140" s="2500"/>
      <c r="Z140" s="2500"/>
      <c r="AA140" s="2500"/>
      <c r="AB140" s="2500"/>
      <c r="AC140" s="2500"/>
      <c r="AD140" s="2500"/>
      <c r="AE140" s="2500"/>
      <c r="AF140" s="2500"/>
      <c r="AG140" s="2501"/>
      <c r="AH140" s="2463"/>
      <c r="AI140" s="2464"/>
      <c r="AJ140" s="2464"/>
      <c r="AK140" s="2464"/>
      <c r="AL140" s="2464"/>
      <c r="AM140" s="2464"/>
      <c r="AN140" s="2464"/>
      <c r="AO140" s="2464"/>
      <c r="AP140" s="2464"/>
      <c r="AQ140" s="2464"/>
      <c r="AR140" s="2464"/>
      <c r="AS140" s="2464"/>
      <c r="AT140" s="2464"/>
      <c r="AU140" s="2464"/>
      <c r="AV140" s="2464"/>
      <c r="AW140" s="2464"/>
      <c r="AX140" s="2465"/>
      <c r="AY140" s="1192"/>
      <c r="AZ140" s="1192"/>
      <c r="BA140" s="1192"/>
      <c r="BB140" s="1192"/>
      <c r="BC140" s="1192"/>
      <c r="BD140" s="1192"/>
      <c r="BE140" s="1196"/>
    </row>
    <row r="141" spans="1:57" ht="15.75" customHeight="1">
      <c r="A141" s="1192"/>
      <c r="B141" s="2499" t="s">
        <v>2359</v>
      </c>
      <c r="C141" s="2500"/>
      <c r="D141" s="2500"/>
      <c r="E141" s="2500"/>
      <c r="F141" s="2500"/>
      <c r="G141" s="2500"/>
      <c r="H141" s="2500"/>
      <c r="I141" s="2500"/>
      <c r="J141" s="2500"/>
      <c r="K141" s="2500"/>
      <c r="L141" s="2500"/>
      <c r="M141" s="2500"/>
      <c r="N141" s="2500"/>
      <c r="O141" s="2500"/>
      <c r="P141" s="2500"/>
      <c r="Q141" s="2500"/>
      <c r="R141" s="2500"/>
      <c r="S141" s="2500"/>
      <c r="T141" s="2500"/>
      <c r="U141" s="2500"/>
      <c r="V141" s="2500"/>
      <c r="W141" s="2500"/>
      <c r="X141" s="2500"/>
      <c r="Y141" s="2500"/>
      <c r="Z141" s="2500"/>
      <c r="AA141" s="2500"/>
      <c r="AB141" s="2500"/>
      <c r="AC141" s="2500"/>
      <c r="AD141" s="2500"/>
      <c r="AE141" s="2500"/>
      <c r="AF141" s="2500"/>
      <c r="AG141" s="2501"/>
      <c r="AH141" s="2394" t="s">
        <v>545</v>
      </c>
      <c r="AI141" s="2394"/>
      <c r="AJ141" s="2394"/>
      <c r="AK141" s="2394"/>
      <c r="AL141" s="2394"/>
      <c r="AM141" s="2394"/>
      <c r="AN141" s="2394"/>
      <c r="AO141" s="2394"/>
      <c r="AP141" s="2394"/>
      <c r="AQ141" s="2394"/>
      <c r="AR141" s="2394"/>
      <c r="AS141" s="2394"/>
      <c r="AT141" s="2394"/>
      <c r="AU141" s="2394"/>
      <c r="AV141" s="2394"/>
      <c r="AW141" s="2394"/>
      <c r="AX141" s="2395"/>
      <c r="AY141" s="1192"/>
      <c r="AZ141" s="1192"/>
      <c r="BA141" s="1192"/>
      <c r="BB141" s="1192"/>
      <c r="BC141" s="1192"/>
      <c r="BD141" s="1192"/>
      <c r="BE141" s="1196"/>
    </row>
    <row r="142" spans="1:57" ht="15.75" customHeight="1">
      <c r="A142" s="1192"/>
      <c r="B142" s="2502" t="s">
        <v>2358</v>
      </c>
      <c r="C142" s="2503"/>
      <c r="D142" s="2503"/>
      <c r="E142" s="2503"/>
      <c r="F142" s="2503"/>
      <c r="G142" s="2503"/>
      <c r="H142" s="2503"/>
      <c r="I142" s="2503"/>
      <c r="J142" s="2503"/>
      <c r="K142" s="2503"/>
      <c r="L142" s="2503"/>
      <c r="M142" s="2503"/>
      <c r="N142" s="2503"/>
      <c r="O142" s="2503"/>
      <c r="P142" s="2503"/>
      <c r="Q142" s="2503"/>
      <c r="R142" s="2504" t="s">
        <v>2357</v>
      </c>
      <c r="S142" s="2504"/>
      <c r="T142" s="2504"/>
      <c r="U142" s="2504"/>
      <c r="V142" s="2504"/>
      <c r="W142" s="2504"/>
      <c r="X142" s="2504"/>
      <c r="Y142" s="2504"/>
      <c r="Z142" s="2504"/>
      <c r="AA142" s="2504"/>
      <c r="AB142" s="2504"/>
      <c r="AC142" s="2504"/>
      <c r="AD142" s="2504"/>
      <c r="AE142" s="2504"/>
      <c r="AF142" s="2504"/>
      <c r="AG142" s="2504"/>
      <c r="AH142" s="2504"/>
      <c r="AI142" s="2504"/>
      <c r="AJ142" s="2504"/>
      <c r="AK142" s="2504"/>
      <c r="AL142" s="2504"/>
      <c r="AM142" s="2504"/>
      <c r="AN142" s="2504"/>
      <c r="AO142" s="2504"/>
      <c r="AP142" s="2504"/>
      <c r="AQ142" s="2504"/>
      <c r="AR142" s="2504"/>
      <c r="AS142" s="2504"/>
      <c r="AT142" s="2504"/>
      <c r="AU142" s="2504"/>
      <c r="AV142" s="2504"/>
      <c r="AW142" s="2504"/>
      <c r="AX142" s="2505"/>
      <c r="AY142" s="1192"/>
      <c r="AZ142" s="1192"/>
      <c r="BA142" s="1192"/>
      <c r="BB142" s="1192"/>
      <c r="BC142" s="1192" t="s">
        <v>249</v>
      </c>
      <c r="BD142" s="1192"/>
      <c r="BE142" s="1196"/>
    </row>
    <row r="143" spans="1:57" ht="15.75" customHeight="1">
      <c r="A143" s="1192"/>
      <c r="B143" s="2506" t="s">
        <v>2356</v>
      </c>
      <c r="C143" s="2507"/>
      <c r="D143" s="2507"/>
      <c r="E143" s="2507"/>
      <c r="F143" s="2507"/>
      <c r="G143" s="2507"/>
      <c r="H143" s="2507"/>
      <c r="I143" s="2507"/>
      <c r="J143" s="2507"/>
      <c r="K143" s="2507"/>
      <c r="L143" s="2507"/>
      <c r="M143" s="2507"/>
      <c r="N143" s="2507"/>
      <c r="O143" s="2507"/>
      <c r="P143" s="2507"/>
      <c r="Q143" s="2507"/>
      <c r="R143" s="2507"/>
      <c r="S143" s="2507"/>
      <c r="T143" s="2507"/>
      <c r="U143" s="2507"/>
      <c r="V143" s="2507"/>
      <c r="W143" s="2507"/>
      <c r="X143" s="2507"/>
      <c r="Y143" s="2507"/>
      <c r="Z143" s="2507"/>
      <c r="AA143" s="2507"/>
      <c r="AB143" s="2507"/>
      <c r="AC143" s="2507"/>
      <c r="AD143" s="2507"/>
      <c r="AE143" s="2507"/>
      <c r="AF143" s="2507"/>
      <c r="AG143" s="2507"/>
      <c r="AH143" s="2507"/>
      <c r="AI143" s="2507"/>
      <c r="AJ143" s="2507"/>
      <c r="AK143" s="2507"/>
      <c r="AL143" s="2507"/>
      <c r="AM143" s="2507"/>
      <c r="AN143" s="2507"/>
      <c r="AO143" s="2507"/>
      <c r="AP143" s="2507"/>
      <c r="AQ143" s="2507"/>
      <c r="AR143" s="2507"/>
      <c r="AS143" s="2507"/>
      <c r="AT143" s="2507"/>
      <c r="AU143" s="2507"/>
      <c r="AV143" s="2507"/>
      <c r="AW143" s="2507"/>
      <c r="AX143" s="2508"/>
      <c r="AY143" s="1192"/>
      <c r="AZ143" s="1192"/>
      <c r="BA143" s="1192"/>
      <c r="BB143" s="1192"/>
      <c r="BC143" s="1192"/>
      <c r="BD143" s="1192"/>
      <c r="BE143" s="1196"/>
    </row>
    <row r="144" spans="1:57" ht="15.75" customHeight="1">
      <c r="A144" s="1192"/>
      <c r="B144" s="2506"/>
      <c r="C144" s="2507"/>
      <c r="D144" s="2507"/>
      <c r="E144" s="2507"/>
      <c r="F144" s="2507"/>
      <c r="G144" s="2507"/>
      <c r="H144" s="2507"/>
      <c r="I144" s="2507"/>
      <c r="J144" s="2507"/>
      <c r="K144" s="2507"/>
      <c r="L144" s="2507"/>
      <c r="M144" s="2507"/>
      <c r="N144" s="2507"/>
      <c r="O144" s="2507"/>
      <c r="P144" s="2507"/>
      <c r="Q144" s="2507"/>
      <c r="R144" s="2507"/>
      <c r="S144" s="2507"/>
      <c r="T144" s="2507"/>
      <c r="U144" s="2507"/>
      <c r="V144" s="2507"/>
      <c r="W144" s="2507"/>
      <c r="X144" s="2507"/>
      <c r="Y144" s="2507"/>
      <c r="Z144" s="2507"/>
      <c r="AA144" s="2507"/>
      <c r="AB144" s="2507"/>
      <c r="AC144" s="2507"/>
      <c r="AD144" s="2507"/>
      <c r="AE144" s="2507"/>
      <c r="AF144" s="2507"/>
      <c r="AG144" s="2507"/>
      <c r="AH144" s="2507"/>
      <c r="AI144" s="2507"/>
      <c r="AJ144" s="2507"/>
      <c r="AK144" s="2507"/>
      <c r="AL144" s="2507"/>
      <c r="AM144" s="2507"/>
      <c r="AN144" s="2507"/>
      <c r="AO144" s="2507"/>
      <c r="AP144" s="2507"/>
      <c r="AQ144" s="2507"/>
      <c r="AR144" s="2507"/>
      <c r="AS144" s="2507"/>
      <c r="AT144" s="2507"/>
      <c r="AU144" s="2507"/>
      <c r="AV144" s="2507"/>
      <c r="AW144" s="2507"/>
      <c r="AX144" s="2508"/>
      <c r="AY144" s="1192"/>
      <c r="AZ144" s="1192"/>
      <c r="BA144" s="1192"/>
      <c r="BB144" s="1192"/>
      <c r="BC144" s="1192"/>
      <c r="BD144" s="1192"/>
      <c r="BE144" s="1196"/>
    </row>
    <row r="145" spans="1:57" ht="15.75" customHeight="1">
      <c r="A145" s="1192"/>
      <c r="B145" s="2506"/>
      <c r="C145" s="2507"/>
      <c r="D145" s="2507"/>
      <c r="E145" s="2507"/>
      <c r="F145" s="2507"/>
      <c r="G145" s="2507"/>
      <c r="H145" s="2507"/>
      <c r="I145" s="2507"/>
      <c r="J145" s="2507"/>
      <c r="K145" s="2507"/>
      <c r="L145" s="2507"/>
      <c r="M145" s="2507"/>
      <c r="N145" s="2507"/>
      <c r="O145" s="2507"/>
      <c r="P145" s="2507"/>
      <c r="Q145" s="2507"/>
      <c r="R145" s="2507"/>
      <c r="S145" s="2507"/>
      <c r="T145" s="2507"/>
      <c r="U145" s="2507"/>
      <c r="V145" s="2507"/>
      <c r="W145" s="2507"/>
      <c r="X145" s="2507"/>
      <c r="Y145" s="2507"/>
      <c r="Z145" s="2507"/>
      <c r="AA145" s="2507"/>
      <c r="AB145" s="2507"/>
      <c r="AC145" s="2507"/>
      <c r="AD145" s="2507"/>
      <c r="AE145" s="2507"/>
      <c r="AF145" s="2507"/>
      <c r="AG145" s="2507"/>
      <c r="AH145" s="2507"/>
      <c r="AI145" s="2507"/>
      <c r="AJ145" s="2507"/>
      <c r="AK145" s="2507"/>
      <c r="AL145" s="2507"/>
      <c r="AM145" s="2507"/>
      <c r="AN145" s="2507"/>
      <c r="AO145" s="2507"/>
      <c r="AP145" s="2507"/>
      <c r="AQ145" s="2507"/>
      <c r="AR145" s="2507"/>
      <c r="AS145" s="2507"/>
      <c r="AT145" s="2507"/>
      <c r="AU145" s="2507"/>
      <c r="AV145" s="2507"/>
      <c r="AW145" s="2507"/>
      <c r="AX145" s="2508"/>
      <c r="AY145" s="1192"/>
      <c r="AZ145" s="1192"/>
      <c r="BA145" s="1192"/>
      <c r="BB145" s="1192"/>
      <c r="BC145" s="1192"/>
      <c r="BD145" s="1192"/>
      <c r="BE145" s="1196"/>
    </row>
    <row r="146" spans="1:57" ht="15.75" customHeight="1">
      <c r="A146" s="1192"/>
      <c r="B146" s="2506"/>
      <c r="C146" s="2507"/>
      <c r="D146" s="2507"/>
      <c r="E146" s="2507"/>
      <c r="F146" s="2507"/>
      <c r="G146" s="2507"/>
      <c r="H146" s="2507"/>
      <c r="I146" s="2507"/>
      <c r="J146" s="2507"/>
      <c r="K146" s="2507"/>
      <c r="L146" s="2507"/>
      <c r="M146" s="2507"/>
      <c r="N146" s="2507"/>
      <c r="O146" s="2507"/>
      <c r="P146" s="2507"/>
      <c r="Q146" s="2507"/>
      <c r="R146" s="2507"/>
      <c r="S146" s="2507"/>
      <c r="T146" s="2507"/>
      <c r="U146" s="2507"/>
      <c r="V146" s="2507"/>
      <c r="W146" s="2507"/>
      <c r="X146" s="2507"/>
      <c r="Y146" s="2507"/>
      <c r="Z146" s="2507"/>
      <c r="AA146" s="2507"/>
      <c r="AB146" s="2507"/>
      <c r="AC146" s="2507"/>
      <c r="AD146" s="2507"/>
      <c r="AE146" s="2507"/>
      <c r="AF146" s="2507"/>
      <c r="AG146" s="2507"/>
      <c r="AH146" s="2507"/>
      <c r="AI146" s="2507"/>
      <c r="AJ146" s="2507"/>
      <c r="AK146" s="2507"/>
      <c r="AL146" s="2507"/>
      <c r="AM146" s="2507"/>
      <c r="AN146" s="2507"/>
      <c r="AO146" s="2507"/>
      <c r="AP146" s="2507"/>
      <c r="AQ146" s="2507"/>
      <c r="AR146" s="2507"/>
      <c r="AS146" s="2507"/>
      <c r="AT146" s="2507"/>
      <c r="AU146" s="2507"/>
      <c r="AV146" s="2507"/>
      <c r="AW146" s="2507"/>
      <c r="AX146" s="2508"/>
      <c r="AY146" s="1192"/>
      <c r="AZ146" s="1192"/>
      <c r="BA146" s="1192"/>
      <c r="BB146" s="1192"/>
      <c r="BC146" s="1192"/>
      <c r="BD146" s="1192"/>
      <c r="BE146" s="1196"/>
    </row>
    <row r="147" spans="1:57" ht="15.75" customHeight="1">
      <c r="A147" s="1192"/>
      <c r="B147" s="2506"/>
      <c r="C147" s="2507"/>
      <c r="D147" s="2507"/>
      <c r="E147" s="2507"/>
      <c r="F147" s="2507"/>
      <c r="G147" s="2507"/>
      <c r="H147" s="2507"/>
      <c r="I147" s="2507"/>
      <c r="J147" s="2507"/>
      <c r="K147" s="2507"/>
      <c r="L147" s="2507"/>
      <c r="M147" s="2507"/>
      <c r="N147" s="2507"/>
      <c r="O147" s="2507"/>
      <c r="P147" s="2507"/>
      <c r="Q147" s="2507"/>
      <c r="R147" s="2507"/>
      <c r="S147" s="2507"/>
      <c r="T147" s="2507"/>
      <c r="U147" s="2507"/>
      <c r="V147" s="2507"/>
      <c r="W147" s="2507"/>
      <c r="X147" s="2507"/>
      <c r="Y147" s="2507"/>
      <c r="Z147" s="2507"/>
      <c r="AA147" s="2507"/>
      <c r="AB147" s="2507"/>
      <c r="AC147" s="2507"/>
      <c r="AD147" s="2507"/>
      <c r="AE147" s="2507"/>
      <c r="AF147" s="2507"/>
      <c r="AG147" s="2507"/>
      <c r="AH147" s="2507"/>
      <c r="AI147" s="2507"/>
      <c r="AJ147" s="2507"/>
      <c r="AK147" s="2507"/>
      <c r="AL147" s="2507"/>
      <c r="AM147" s="2507"/>
      <c r="AN147" s="2507"/>
      <c r="AO147" s="2507"/>
      <c r="AP147" s="2507"/>
      <c r="AQ147" s="2507"/>
      <c r="AR147" s="2507"/>
      <c r="AS147" s="2507"/>
      <c r="AT147" s="2507"/>
      <c r="AU147" s="2507"/>
      <c r="AV147" s="2507"/>
      <c r="AW147" s="2507"/>
      <c r="AX147" s="2508"/>
      <c r="AY147" s="1192"/>
      <c r="AZ147" s="1192"/>
      <c r="BA147" s="1192"/>
      <c r="BB147" s="1192"/>
      <c r="BC147" s="1192"/>
      <c r="BD147" s="1192"/>
      <c r="BE147" s="1196"/>
    </row>
    <row r="148" spans="1:57" ht="15.75" customHeight="1">
      <c r="A148" s="1192"/>
      <c r="B148" s="2506"/>
      <c r="C148" s="2507"/>
      <c r="D148" s="2507"/>
      <c r="E148" s="2507"/>
      <c r="F148" s="2507"/>
      <c r="G148" s="2507"/>
      <c r="H148" s="2507"/>
      <c r="I148" s="2507"/>
      <c r="J148" s="2507"/>
      <c r="K148" s="2507"/>
      <c r="L148" s="2507"/>
      <c r="M148" s="2507"/>
      <c r="N148" s="2507"/>
      <c r="O148" s="2507"/>
      <c r="P148" s="2507"/>
      <c r="Q148" s="2507"/>
      <c r="R148" s="2507"/>
      <c r="S148" s="2507"/>
      <c r="T148" s="2507"/>
      <c r="U148" s="2507"/>
      <c r="V148" s="2507"/>
      <c r="W148" s="2507"/>
      <c r="X148" s="2507"/>
      <c r="Y148" s="2507"/>
      <c r="Z148" s="2507"/>
      <c r="AA148" s="2507"/>
      <c r="AB148" s="2507"/>
      <c r="AC148" s="2507"/>
      <c r="AD148" s="2507"/>
      <c r="AE148" s="2507"/>
      <c r="AF148" s="2507"/>
      <c r="AG148" s="2507"/>
      <c r="AH148" s="2507"/>
      <c r="AI148" s="2507"/>
      <c r="AJ148" s="2507"/>
      <c r="AK148" s="2507"/>
      <c r="AL148" s="2507"/>
      <c r="AM148" s="2507"/>
      <c r="AN148" s="2507"/>
      <c r="AO148" s="2507"/>
      <c r="AP148" s="2507"/>
      <c r="AQ148" s="2507"/>
      <c r="AR148" s="2507"/>
      <c r="AS148" s="2507"/>
      <c r="AT148" s="2507"/>
      <c r="AU148" s="2507"/>
      <c r="AV148" s="2507"/>
      <c r="AW148" s="2507"/>
      <c r="AX148" s="2508"/>
      <c r="AY148" s="1192"/>
      <c r="AZ148" s="1192"/>
      <c r="BA148" s="1192"/>
      <c r="BB148" s="1192"/>
      <c r="BC148" s="1192"/>
      <c r="BD148" s="1192"/>
      <c r="BE148" s="1196"/>
    </row>
    <row r="149" spans="1:57" ht="15.75" customHeight="1">
      <c r="A149" s="1192"/>
      <c r="B149" s="2506"/>
      <c r="C149" s="2507"/>
      <c r="D149" s="2507"/>
      <c r="E149" s="2507"/>
      <c r="F149" s="2507"/>
      <c r="G149" s="2507"/>
      <c r="H149" s="2507"/>
      <c r="I149" s="2507"/>
      <c r="J149" s="2507"/>
      <c r="K149" s="2507"/>
      <c r="L149" s="2507"/>
      <c r="M149" s="2507"/>
      <c r="N149" s="2507"/>
      <c r="O149" s="2507"/>
      <c r="P149" s="2507"/>
      <c r="Q149" s="2507"/>
      <c r="R149" s="2507"/>
      <c r="S149" s="2507"/>
      <c r="T149" s="2507"/>
      <c r="U149" s="2507"/>
      <c r="V149" s="2507"/>
      <c r="W149" s="2507"/>
      <c r="X149" s="2507"/>
      <c r="Y149" s="2507"/>
      <c r="Z149" s="2507"/>
      <c r="AA149" s="2507"/>
      <c r="AB149" s="2507"/>
      <c r="AC149" s="2507"/>
      <c r="AD149" s="2507"/>
      <c r="AE149" s="2507"/>
      <c r="AF149" s="2507"/>
      <c r="AG149" s="2507"/>
      <c r="AH149" s="2507"/>
      <c r="AI149" s="2507"/>
      <c r="AJ149" s="2507"/>
      <c r="AK149" s="2507"/>
      <c r="AL149" s="2507"/>
      <c r="AM149" s="2507"/>
      <c r="AN149" s="2507"/>
      <c r="AO149" s="2507"/>
      <c r="AP149" s="2507"/>
      <c r="AQ149" s="2507"/>
      <c r="AR149" s="2507"/>
      <c r="AS149" s="2507"/>
      <c r="AT149" s="2507"/>
      <c r="AU149" s="2507"/>
      <c r="AV149" s="2507"/>
      <c r="AW149" s="2507"/>
      <c r="AX149" s="2508"/>
      <c r="AY149" s="1192"/>
      <c r="AZ149" s="1192"/>
      <c r="BA149" s="1192"/>
      <c r="BB149" s="1192"/>
      <c r="BC149" s="1192"/>
      <c r="BD149" s="1192"/>
      <c r="BE149" s="1196"/>
    </row>
    <row r="150" spans="1:57" ht="15.75" customHeight="1">
      <c r="A150" s="1192"/>
      <c r="B150" s="2506"/>
      <c r="C150" s="2507"/>
      <c r="D150" s="2507"/>
      <c r="E150" s="2507"/>
      <c r="F150" s="2507"/>
      <c r="G150" s="2507"/>
      <c r="H150" s="2507"/>
      <c r="I150" s="2507"/>
      <c r="J150" s="2507"/>
      <c r="K150" s="2507"/>
      <c r="L150" s="2507"/>
      <c r="M150" s="2507"/>
      <c r="N150" s="2507"/>
      <c r="O150" s="2507"/>
      <c r="P150" s="2507"/>
      <c r="Q150" s="2507"/>
      <c r="R150" s="2507"/>
      <c r="S150" s="2507"/>
      <c r="T150" s="2507"/>
      <c r="U150" s="2507"/>
      <c r="V150" s="2507"/>
      <c r="W150" s="2507"/>
      <c r="X150" s="2507"/>
      <c r="Y150" s="2507"/>
      <c r="Z150" s="2507"/>
      <c r="AA150" s="2507"/>
      <c r="AB150" s="2507"/>
      <c r="AC150" s="2507"/>
      <c r="AD150" s="2507"/>
      <c r="AE150" s="2507"/>
      <c r="AF150" s="2507"/>
      <c r="AG150" s="2507"/>
      <c r="AH150" s="2507"/>
      <c r="AI150" s="2507"/>
      <c r="AJ150" s="2507"/>
      <c r="AK150" s="2507"/>
      <c r="AL150" s="2507"/>
      <c r="AM150" s="2507"/>
      <c r="AN150" s="2507"/>
      <c r="AO150" s="2507"/>
      <c r="AP150" s="2507"/>
      <c r="AQ150" s="2507"/>
      <c r="AR150" s="2507"/>
      <c r="AS150" s="2507"/>
      <c r="AT150" s="2507"/>
      <c r="AU150" s="2507"/>
      <c r="AV150" s="2507"/>
      <c r="AW150" s="2507"/>
      <c r="AX150" s="2508"/>
      <c r="AY150" s="1192"/>
      <c r="AZ150" s="1192"/>
      <c r="BA150" s="1192"/>
      <c r="BB150" s="1192"/>
      <c r="BC150" s="1192"/>
      <c r="BD150" s="1192"/>
      <c r="BE150" s="1196"/>
    </row>
    <row r="151" spans="1:57" ht="15.75" customHeight="1">
      <c r="A151" s="1192"/>
      <c r="B151" s="2506"/>
      <c r="C151" s="2507"/>
      <c r="D151" s="2507"/>
      <c r="E151" s="2507"/>
      <c r="F151" s="2507"/>
      <c r="G151" s="2507"/>
      <c r="H151" s="2507"/>
      <c r="I151" s="2507"/>
      <c r="J151" s="2507"/>
      <c r="K151" s="2507"/>
      <c r="L151" s="2507"/>
      <c r="M151" s="2507"/>
      <c r="N151" s="2507"/>
      <c r="O151" s="2507"/>
      <c r="P151" s="2507"/>
      <c r="Q151" s="2507"/>
      <c r="R151" s="2507"/>
      <c r="S151" s="2507"/>
      <c r="T151" s="2507"/>
      <c r="U151" s="2507"/>
      <c r="V151" s="2507"/>
      <c r="W151" s="2507"/>
      <c r="X151" s="2507"/>
      <c r="Y151" s="2507"/>
      <c r="Z151" s="2507"/>
      <c r="AA151" s="2507"/>
      <c r="AB151" s="2507"/>
      <c r="AC151" s="2507"/>
      <c r="AD151" s="2507"/>
      <c r="AE151" s="2507"/>
      <c r="AF151" s="2507"/>
      <c r="AG151" s="2507"/>
      <c r="AH151" s="2507"/>
      <c r="AI151" s="2507"/>
      <c r="AJ151" s="2507"/>
      <c r="AK151" s="2507"/>
      <c r="AL151" s="2507"/>
      <c r="AM151" s="2507"/>
      <c r="AN151" s="2507"/>
      <c r="AO151" s="2507"/>
      <c r="AP151" s="2507"/>
      <c r="AQ151" s="2507"/>
      <c r="AR151" s="2507"/>
      <c r="AS151" s="2507"/>
      <c r="AT151" s="2507"/>
      <c r="AU151" s="2507"/>
      <c r="AV151" s="2507"/>
      <c r="AW151" s="2507"/>
      <c r="AX151" s="2508"/>
      <c r="AY151" s="1192"/>
      <c r="AZ151" s="1192"/>
      <c r="BA151" s="1192"/>
      <c r="BB151" s="1192"/>
      <c r="BC151" s="1192"/>
      <c r="BD151" s="1192"/>
      <c r="BE151" s="1196"/>
    </row>
    <row r="152" spans="1:57" ht="15.75" customHeight="1" thickBot="1">
      <c r="A152" s="1192"/>
      <c r="B152" s="2509"/>
      <c r="C152" s="2510"/>
      <c r="D152" s="2510"/>
      <c r="E152" s="2510"/>
      <c r="F152" s="2510"/>
      <c r="G152" s="2510"/>
      <c r="H152" s="2510"/>
      <c r="I152" s="2510"/>
      <c r="J152" s="2510"/>
      <c r="K152" s="2510"/>
      <c r="L152" s="2510"/>
      <c r="M152" s="2510"/>
      <c r="N152" s="2510"/>
      <c r="O152" s="2510"/>
      <c r="P152" s="2510"/>
      <c r="Q152" s="2510"/>
      <c r="R152" s="2510"/>
      <c r="S152" s="2510"/>
      <c r="T152" s="2510"/>
      <c r="U152" s="2510"/>
      <c r="V152" s="2510"/>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1"/>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366" t="s">
        <v>2353</v>
      </c>
      <c r="C156" s="2367"/>
      <c r="D156" s="2367"/>
      <c r="E156" s="2367"/>
      <c r="F156" s="2367"/>
      <c r="G156" s="2367"/>
      <c r="H156" s="2367"/>
      <c r="I156" s="2367"/>
      <c r="J156" s="2367"/>
      <c r="K156" s="2367"/>
      <c r="L156" s="2367"/>
      <c r="M156" s="2367"/>
      <c r="N156" s="2367"/>
      <c r="O156" s="2367"/>
      <c r="P156" s="2367"/>
      <c r="Q156" s="2367"/>
      <c r="R156" s="2367"/>
      <c r="S156" s="2367"/>
      <c r="T156" s="2367"/>
      <c r="U156" s="2368"/>
      <c r="V156" s="1192"/>
      <c r="W156" s="1194"/>
      <c r="X156" s="2366" t="s">
        <v>2352</v>
      </c>
      <c r="Y156" s="2367"/>
      <c r="Z156" s="2367"/>
      <c r="AA156" s="2367"/>
      <c r="AB156" s="2367"/>
      <c r="AC156" s="2367"/>
      <c r="AD156" s="2367"/>
      <c r="AE156" s="2367"/>
      <c r="AF156" s="2367"/>
      <c r="AG156" s="2367"/>
      <c r="AH156" s="2367"/>
      <c r="AI156" s="2367"/>
      <c r="AJ156" s="2367"/>
      <c r="AK156" s="2367"/>
      <c r="AL156" s="2367"/>
      <c r="AM156" s="2367"/>
      <c r="AN156" s="2367"/>
      <c r="AO156" s="2367"/>
      <c r="AP156" s="2367"/>
      <c r="AQ156" s="2368"/>
      <c r="AR156" s="1192"/>
      <c r="AS156" s="1192"/>
      <c r="AT156" s="1192"/>
      <c r="AU156" s="1192"/>
      <c r="AV156" s="1192"/>
      <c r="AW156" s="1192"/>
      <c r="AX156" s="1192"/>
      <c r="AY156" s="1192"/>
      <c r="AZ156" s="1192"/>
      <c r="BA156" s="1192"/>
      <c r="BB156" s="1192"/>
      <c r="BC156" s="1192"/>
      <c r="BD156" s="1192"/>
      <c r="BE156" s="1196"/>
    </row>
    <row r="157" spans="1:57" ht="15.75" customHeight="1">
      <c r="A157" s="1192"/>
      <c r="B157" s="2514"/>
      <c r="C157" s="2515"/>
      <c r="D157" s="2515"/>
      <c r="E157" s="2515"/>
      <c r="F157" s="2515"/>
      <c r="G157" s="2515"/>
      <c r="H157" s="2515"/>
      <c r="I157" s="2516" t="s">
        <v>2350</v>
      </c>
      <c r="J157" s="2516"/>
      <c r="K157" s="2516"/>
      <c r="L157" s="2516"/>
      <c r="M157" s="2516"/>
      <c r="N157" s="2516"/>
      <c r="O157" s="2516"/>
      <c r="P157" s="2516" t="s">
        <v>2351</v>
      </c>
      <c r="Q157" s="2516"/>
      <c r="R157" s="2516"/>
      <c r="S157" s="2516"/>
      <c r="T157" s="2516"/>
      <c r="U157" s="2517"/>
      <c r="V157" s="1192"/>
      <c r="W157" s="1192"/>
      <c r="X157" s="2514"/>
      <c r="Y157" s="2515"/>
      <c r="Z157" s="2515"/>
      <c r="AA157" s="2515"/>
      <c r="AB157" s="2515"/>
      <c r="AC157" s="2515"/>
      <c r="AD157" s="2515"/>
      <c r="AE157" s="2516" t="s">
        <v>2350</v>
      </c>
      <c r="AF157" s="2516"/>
      <c r="AG157" s="2516"/>
      <c r="AH157" s="2516"/>
      <c r="AI157" s="2516"/>
      <c r="AJ157" s="2516"/>
      <c r="AK157" s="2516"/>
      <c r="AL157" s="2516" t="s">
        <v>2349</v>
      </c>
      <c r="AM157" s="2516"/>
      <c r="AN157" s="2516"/>
      <c r="AO157" s="2516"/>
      <c r="AP157" s="2516"/>
      <c r="AQ157" s="2517"/>
      <c r="AR157" s="1192"/>
      <c r="AS157" s="1192"/>
      <c r="AT157" s="1192"/>
      <c r="AU157" s="1192"/>
      <c r="AV157" s="1192"/>
      <c r="AW157" s="1192"/>
      <c r="AX157" s="1192"/>
      <c r="AY157" s="1192"/>
      <c r="AZ157" s="1192"/>
      <c r="BA157" s="1192"/>
      <c r="BB157" s="1192"/>
      <c r="BC157" s="1192"/>
      <c r="BD157" s="1192"/>
      <c r="BE157" s="1196"/>
    </row>
    <row r="158" spans="1:57" ht="15.75" customHeight="1">
      <c r="A158" s="1192"/>
      <c r="B158" s="2514"/>
      <c r="C158" s="2515"/>
      <c r="D158" s="2515"/>
      <c r="E158" s="2515"/>
      <c r="F158" s="2515"/>
      <c r="G158" s="2515"/>
      <c r="H158" s="2515"/>
      <c r="I158" s="2516"/>
      <c r="J158" s="2516"/>
      <c r="K158" s="2516"/>
      <c r="L158" s="2516"/>
      <c r="M158" s="2516"/>
      <c r="N158" s="2516"/>
      <c r="O158" s="2516"/>
      <c r="P158" s="2516"/>
      <c r="Q158" s="2516"/>
      <c r="R158" s="2516"/>
      <c r="S158" s="2516"/>
      <c r="T158" s="2516"/>
      <c r="U158" s="2517"/>
      <c r="V158" s="1192"/>
      <c r="W158" s="1192"/>
      <c r="X158" s="2514"/>
      <c r="Y158" s="2515"/>
      <c r="Z158" s="2515"/>
      <c r="AA158" s="2515"/>
      <c r="AB158" s="2515"/>
      <c r="AC158" s="2515"/>
      <c r="AD158" s="2515"/>
      <c r="AE158" s="2516"/>
      <c r="AF158" s="2516"/>
      <c r="AG158" s="2516"/>
      <c r="AH158" s="2516"/>
      <c r="AI158" s="2516"/>
      <c r="AJ158" s="2516"/>
      <c r="AK158" s="2516"/>
      <c r="AL158" s="2516"/>
      <c r="AM158" s="2516"/>
      <c r="AN158" s="2516"/>
      <c r="AO158" s="2516"/>
      <c r="AP158" s="2516"/>
      <c r="AQ158" s="2517"/>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472" t="s">
        <v>2348</v>
      </c>
      <c r="C159" s="2473"/>
      <c r="D159" s="2473"/>
      <c r="E159" s="2473"/>
      <c r="F159" s="2473"/>
      <c r="G159" s="2473"/>
      <c r="H159" s="2473"/>
      <c r="I159" s="2446">
        <v>0</v>
      </c>
      <c r="J159" s="2446"/>
      <c r="K159" s="2446"/>
      <c r="L159" s="2446"/>
      <c r="M159" s="2446"/>
      <c r="N159" s="2446"/>
      <c r="O159" s="2446"/>
      <c r="P159" s="2446">
        <v>0</v>
      </c>
      <c r="Q159" s="2446"/>
      <c r="R159" s="2446"/>
      <c r="S159" s="2446"/>
      <c r="T159" s="2446"/>
      <c r="U159" s="2447"/>
      <c r="V159" s="1192"/>
      <c r="W159" s="1192"/>
      <c r="X159" s="2474" t="s">
        <v>2348</v>
      </c>
      <c r="Y159" s="2475"/>
      <c r="Z159" s="2475"/>
      <c r="AA159" s="2475"/>
      <c r="AB159" s="2475"/>
      <c r="AC159" s="2475"/>
      <c r="AD159" s="2475"/>
      <c r="AE159" s="2461">
        <v>0</v>
      </c>
      <c r="AF159" s="2461"/>
      <c r="AG159" s="2461"/>
      <c r="AH159" s="2461"/>
      <c r="AI159" s="2461"/>
      <c r="AJ159" s="2461"/>
      <c r="AK159" s="2461"/>
      <c r="AL159" s="2461">
        <v>0</v>
      </c>
      <c r="AM159" s="2461"/>
      <c r="AN159" s="2461"/>
      <c r="AO159" s="2461"/>
      <c r="AP159" s="2461"/>
      <c r="AQ159" s="2462"/>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474" t="s">
        <v>2347</v>
      </c>
      <c r="C160" s="2475"/>
      <c r="D160" s="2475"/>
      <c r="E160" s="2475"/>
      <c r="F160" s="2475"/>
      <c r="G160" s="2475"/>
      <c r="H160" s="2475"/>
      <c r="I160" s="2461">
        <v>0</v>
      </c>
      <c r="J160" s="2461"/>
      <c r="K160" s="2461"/>
      <c r="L160" s="2461"/>
      <c r="M160" s="2461"/>
      <c r="N160" s="2461"/>
      <c r="O160" s="2461"/>
      <c r="P160" s="2461">
        <v>0</v>
      </c>
      <c r="Q160" s="2461"/>
      <c r="R160" s="2461"/>
      <c r="S160" s="2461"/>
      <c r="T160" s="2461"/>
      <c r="U160" s="2462"/>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366" t="s">
        <v>2346</v>
      </c>
      <c r="D162" s="2367"/>
      <c r="E162" s="2367"/>
      <c r="F162" s="2367"/>
      <c r="G162" s="2367"/>
      <c r="H162" s="2367"/>
      <c r="I162" s="2367"/>
      <c r="J162" s="2367"/>
      <c r="K162" s="2367"/>
      <c r="L162" s="2367"/>
      <c r="M162" s="2367"/>
      <c r="N162" s="2367"/>
      <c r="O162" s="2367"/>
      <c r="P162" s="2367"/>
      <c r="Q162" s="2367"/>
      <c r="R162" s="2367"/>
      <c r="S162" s="2367"/>
      <c r="T162" s="2367"/>
      <c r="U162" s="2367"/>
      <c r="V162" s="2367"/>
      <c r="W162" s="2367"/>
      <c r="X162" s="2367"/>
      <c r="Y162" s="2367"/>
      <c r="Z162" s="2367"/>
      <c r="AA162" s="2367"/>
      <c r="AB162" s="2367"/>
      <c r="AC162" s="2367"/>
      <c r="AD162" s="2367"/>
      <c r="AE162" s="2367"/>
      <c r="AF162" s="2367"/>
      <c r="AG162" s="2368"/>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514" t="s">
        <v>2331</v>
      </c>
      <c r="D163" s="2515"/>
      <c r="E163" s="2515"/>
      <c r="F163" s="2515"/>
      <c r="G163" s="2515"/>
      <c r="H163" s="2515"/>
      <c r="I163" s="2515"/>
      <c r="J163" s="2515"/>
      <c r="K163" s="2515"/>
      <c r="L163" s="2515"/>
      <c r="M163" s="2515"/>
      <c r="N163" s="2515"/>
      <c r="O163" s="2515"/>
      <c r="P163" s="2515"/>
      <c r="Q163" s="2515" t="s">
        <v>2345</v>
      </c>
      <c r="R163" s="2515"/>
      <c r="S163" s="2515"/>
      <c r="T163" s="2457" t="s">
        <v>2344</v>
      </c>
      <c r="U163" s="2457"/>
      <c r="V163" s="2457"/>
      <c r="W163" s="2457"/>
      <c r="X163" s="2457"/>
      <c r="Y163" s="2457"/>
      <c r="Z163" s="2457"/>
      <c r="AA163" s="2457"/>
      <c r="AB163" s="2515" t="s">
        <v>2343</v>
      </c>
      <c r="AC163" s="2515"/>
      <c r="AD163" s="2515"/>
      <c r="AE163" s="2515"/>
      <c r="AF163" s="2515"/>
      <c r="AG163" s="2523"/>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518" t="s">
        <v>2342</v>
      </c>
      <c r="D164" s="2519"/>
      <c r="E164" s="2519"/>
      <c r="F164" s="2519"/>
      <c r="G164" s="2519"/>
      <c r="H164" s="2519"/>
      <c r="I164" s="2519"/>
      <c r="J164" s="2519"/>
      <c r="K164" s="2519"/>
      <c r="L164" s="2519"/>
      <c r="M164" s="2519"/>
      <c r="N164" s="2519"/>
      <c r="O164" s="2519"/>
      <c r="P164" s="2519"/>
      <c r="Q164" s="2520">
        <v>55</v>
      </c>
      <c r="R164" s="2520"/>
      <c r="S164" s="2520"/>
      <c r="T164" s="2521"/>
      <c r="U164" s="2521"/>
      <c r="V164" s="2521"/>
      <c r="W164" s="2521"/>
      <c r="X164" s="2521"/>
      <c r="Y164" s="2521"/>
      <c r="Z164" s="2521"/>
      <c r="AA164" s="2521"/>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518" t="s">
        <v>2341</v>
      </c>
      <c r="D165" s="2519"/>
      <c r="E165" s="2519"/>
      <c r="F165" s="2519"/>
      <c r="G165" s="2519"/>
      <c r="H165" s="2519"/>
      <c r="I165" s="2519"/>
      <c r="J165" s="2519"/>
      <c r="K165" s="2519"/>
      <c r="L165" s="2519"/>
      <c r="M165" s="2519"/>
      <c r="N165" s="2519"/>
      <c r="O165" s="2519"/>
      <c r="P165" s="2519"/>
      <c r="Q165" s="2520">
        <v>55</v>
      </c>
      <c r="R165" s="2520"/>
      <c r="S165" s="2520"/>
      <c r="T165" s="2522"/>
      <c r="U165" s="2522"/>
      <c r="V165" s="2522"/>
      <c r="W165" s="2522"/>
      <c r="X165" s="2522"/>
      <c r="Y165" s="2522"/>
      <c r="Z165" s="2522"/>
      <c r="AA165" s="2522"/>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518" t="s">
        <v>2340</v>
      </c>
      <c r="D166" s="2519"/>
      <c r="E166" s="2519"/>
      <c r="F166" s="2519"/>
      <c r="G166" s="2519"/>
      <c r="H166" s="2519"/>
      <c r="I166" s="2519"/>
      <c r="J166" s="2519"/>
      <c r="K166" s="2519"/>
      <c r="L166" s="2519"/>
      <c r="M166" s="2519"/>
      <c r="N166" s="2519"/>
      <c r="O166" s="2519"/>
      <c r="P166" s="2519"/>
      <c r="Q166" s="2520">
        <v>55</v>
      </c>
      <c r="R166" s="2520"/>
      <c r="S166" s="2520"/>
      <c r="T166" s="2521"/>
      <c r="U166" s="2521"/>
      <c r="V166" s="2521"/>
      <c r="W166" s="2521"/>
      <c r="X166" s="2521"/>
      <c r="Y166" s="2521"/>
      <c r="Z166" s="2521"/>
      <c r="AA166" s="2521"/>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518" t="s">
        <v>2339</v>
      </c>
      <c r="D167" s="2519"/>
      <c r="E167" s="2519"/>
      <c r="F167" s="2519"/>
      <c r="G167" s="2519"/>
      <c r="H167" s="2519"/>
      <c r="I167" s="2519"/>
      <c r="J167" s="2519"/>
      <c r="K167" s="2519"/>
      <c r="L167" s="2519"/>
      <c r="M167" s="2519"/>
      <c r="N167" s="2519"/>
      <c r="O167" s="2519"/>
      <c r="P167" s="2519"/>
      <c r="Q167" s="2520">
        <v>55</v>
      </c>
      <c r="R167" s="2520"/>
      <c r="S167" s="2520"/>
      <c r="T167" s="2521"/>
      <c r="U167" s="2521"/>
      <c r="V167" s="2521"/>
      <c r="W167" s="2521"/>
      <c r="X167" s="2521"/>
      <c r="Y167" s="2521"/>
      <c r="Z167" s="2521"/>
      <c r="AA167" s="2521"/>
      <c r="AB167" s="2524">
        <v>0</v>
      </c>
      <c r="AC167" s="2524"/>
      <c r="AD167" s="2524"/>
      <c r="AE167" s="2524"/>
      <c r="AF167" s="2524"/>
      <c r="AG167" s="2525"/>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518" t="s">
        <v>169</v>
      </c>
      <c r="D168" s="2519"/>
      <c r="E168" s="2519"/>
      <c r="F168" s="2526" t="s">
        <v>2320</v>
      </c>
      <c r="G168" s="2526"/>
      <c r="H168" s="2526"/>
      <c r="I168" s="2526"/>
      <c r="J168" s="2526"/>
      <c r="K168" s="2526"/>
      <c r="L168" s="2526"/>
      <c r="M168" s="2526"/>
      <c r="N168" s="2526"/>
      <c r="O168" s="2526"/>
      <c r="P168" s="2526"/>
      <c r="Q168" s="2520">
        <v>55</v>
      </c>
      <c r="R168" s="2520"/>
      <c r="S168" s="2520"/>
      <c r="T168" s="2522"/>
      <c r="U168" s="2522"/>
      <c r="V168" s="2522"/>
      <c r="W168" s="2522"/>
      <c r="X168" s="2522"/>
      <c r="Y168" s="2522"/>
      <c r="Z168" s="2522"/>
      <c r="AA168" s="2522"/>
      <c r="AB168" s="2524">
        <v>0</v>
      </c>
      <c r="AC168" s="2524"/>
      <c r="AD168" s="2524"/>
      <c r="AE168" s="2524"/>
      <c r="AF168" s="2524"/>
      <c r="AG168" s="2525"/>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518" t="s">
        <v>169</v>
      </c>
      <c r="D169" s="2519"/>
      <c r="E169" s="2519"/>
      <c r="F169" s="2526" t="s">
        <v>2320</v>
      </c>
      <c r="G169" s="2526"/>
      <c r="H169" s="2526"/>
      <c r="I169" s="2526"/>
      <c r="J169" s="2526"/>
      <c r="K169" s="2526"/>
      <c r="L169" s="2526"/>
      <c r="M169" s="2526"/>
      <c r="N169" s="2526"/>
      <c r="O169" s="2526"/>
      <c r="P169" s="2526"/>
      <c r="Q169" s="2520">
        <v>55</v>
      </c>
      <c r="R169" s="2520"/>
      <c r="S169" s="2520"/>
      <c r="T169" s="2522"/>
      <c r="U169" s="2522"/>
      <c r="V169" s="2522"/>
      <c r="W169" s="2522"/>
      <c r="X169" s="2522"/>
      <c r="Y169" s="2522"/>
      <c r="Z169" s="2522"/>
      <c r="AA169" s="2522"/>
      <c r="AB169" s="2524">
        <v>0</v>
      </c>
      <c r="AC169" s="2524"/>
      <c r="AD169" s="2524"/>
      <c r="AE169" s="2524"/>
      <c r="AF169" s="2524"/>
      <c r="AG169" s="2525"/>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527" t="s">
        <v>169</v>
      </c>
      <c r="D170" s="2528"/>
      <c r="E170" s="2528"/>
      <c r="F170" s="2529" t="s">
        <v>2320</v>
      </c>
      <c r="G170" s="2529"/>
      <c r="H170" s="2529"/>
      <c r="I170" s="2529"/>
      <c r="J170" s="2529"/>
      <c r="K170" s="2529"/>
      <c r="L170" s="2529"/>
      <c r="M170" s="2529"/>
      <c r="N170" s="2529"/>
      <c r="O170" s="2529"/>
      <c r="P170" s="2529"/>
      <c r="Q170" s="2530">
        <v>55</v>
      </c>
      <c r="R170" s="2530"/>
      <c r="S170" s="2530"/>
      <c r="T170" s="2531"/>
      <c r="U170" s="2531"/>
      <c r="V170" s="2531"/>
      <c r="W170" s="2531"/>
      <c r="X170" s="2531"/>
      <c r="Y170" s="2531"/>
      <c r="Z170" s="2531"/>
      <c r="AA170" s="2531"/>
      <c r="AB170" s="2532">
        <v>0</v>
      </c>
      <c r="AC170" s="2532"/>
      <c r="AD170" s="2532"/>
      <c r="AE170" s="2532"/>
      <c r="AF170" s="2532"/>
      <c r="AG170" s="2533"/>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415" t="s">
        <v>2338</v>
      </c>
      <c r="D172" s="2416"/>
      <c r="E172" s="2416"/>
      <c r="F172" s="2416"/>
      <c r="G172" s="2416"/>
      <c r="H172" s="2416"/>
      <c r="I172" s="2416"/>
      <c r="J172" s="2416"/>
      <c r="K172" s="2416"/>
      <c r="L172" s="2416"/>
      <c r="M172" s="2416"/>
      <c r="N172" s="2466"/>
      <c r="O172" s="1192"/>
      <c r="P172" s="2534" t="s">
        <v>2337</v>
      </c>
      <c r="Q172" s="2535"/>
      <c r="R172" s="2535"/>
      <c r="S172" s="2535"/>
      <c r="T172" s="2535"/>
      <c r="U172" s="2535"/>
      <c r="V172" s="2535"/>
      <c r="W172" s="2535"/>
      <c r="X172" s="2535"/>
      <c r="Y172" s="2535"/>
      <c r="Z172" s="2535"/>
      <c r="AA172" s="2535"/>
      <c r="AB172" s="2535"/>
      <c r="AC172" s="2535"/>
      <c r="AD172" s="2535"/>
      <c r="AE172" s="2535"/>
      <c r="AF172" s="2535"/>
      <c r="AG172" s="2535"/>
      <c r="AH172" s="2535"/>
      <c r="AI172" s="2535"/>
      <c r="AJ172" s="2535"/>
      <c r="AK172" s="2535"/>
      <c r="AL172" s="2535"/>
      <c r="AM172" s="2535"/>
      <c r="AN172" s="2535"/>
      <c r="AO172" s="2536"/>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514" t="s">
        <v>2336</v>
      </c>
      <c r="D173" s="2515"/>
      <c r="E173" s="2515"/>
      <c r="F173" s="2515"/>
      <c r="G173" s="2515"/>
      <c r="H173" s="2515"/>
      <c r="I173" s="2515" t="s">
        <v>2335</v>
      </c>
      <c r="J173" s="2515"/>
      <c r="K173" s="2515"/>
      <c r="L173" s="2515"/>
      <c r="M173" s="2515"/>
      <c r="N173" s="2523"/>
      <c r="O173" s="1192"/>
      <c r="P173" s="2435" t="s">
        <v>2334</v>
      </c>
      <c r="Q173" s="2436"/>
      <c r="R173" s="2436"/>
      <c r="S173" s="2436"/>
      <c r="T173" s="2436"/>
      <c r="U173" s="2436"/>
      <c r="V173" s="2436"/>
      <c r="W173" s="2436"/>
      <c r="X173" s="2436"/>
      <c r="Y173" s="2436"/>
      <c r="Z173" s="2436"/>
      <c r="AA173" s="2436"/>
      <c r="AB173" s="2436"/>
      <c r="AC173" s="2436"/>
      <c r="AD173" s="2436"/>
      <c r="AE173" s="2436"/>
      <c r="AF173" s="2436"/>
      <c r="AG173" s="2436"/>
      <c r="AH173" s="2436"/>
      <c r="AI173" s="2436"/>
      <c r="AJ173" s="2436"/>
      <c r="AK173" s="2436"/>
      <c r="AL173" s="2436"/>
      <c r="AM173" s="2436"/>
      <c r="AN173" s="2436"/>
      <c r="AO173" s="2437"/>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441"/>
      <c r="D174" s="2373"/>
      <c r="E174" s="2373"/>
      <c r="F174" s="2373"/>
      <c r="G174" s="2373"/>
      <c r="H174" s="2373"/>
      <c r="I174" s="2521"/>
      <c r="J174" s="2521"/>
      <c r="K174" s="2521"/>
      <c r="L174" s="2521"/>
      <c r="M174" s="2521"/>
      <c r="N174" s="2537"/>
      <c r="O174" s="1192"/>
      <c r="P174" s="2435"/>
      <c r="Q174" s="2436"/>
      <c r="R174" s="2436"/>
      <c r="S174" s="2436"/>
      <c r="T174" s="2436"/>
      <c r="U174" s="2436"/>
      <c r="V174" s="2436"/>
      <c r="W174" s="2436"/>
      <c r="X174" s="2436"/>
      <c r="Y174" s="2436"/>
      <c r="Z174" s="2436"/>
      <c r="AA174" s="2436"/>
      <c r="AB174" s="2436"/>
      <c r="AC174" s="2436"/>
      <c r="AD174" s="2436"/>
      <c r="AE174" s="2436"/>
      <c r="AF174" s="2436"/>
      <c r="AG174" s="2436"/>
      <c r="AH174" s="2436"/>
      <c r="AI174" s="2436"/>
      <c r="AJ174" s="2436"/>
      <c r="AK174" s="2436"/>
      <c r="AL174" s="2436"/>
      <c r="AM174" s="2436"/>
      <c r="AN174" s="2436"/>
      <c r="AO174" s="2437"/>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441"/>
      <c r="D175" s="2373"/>
      <c r="E175" s="2373"/>
      <c r="F175" s="2373"/>
      <c r="G175" s="2373"/>
      <c r="H175" s="2373"/>
      <c r="I175" s="2521"/>
      <c r="J175" s="2521"/>
      <c r="K175" s="2521"/>
      <c r="L175" s="2521"/>
      <c r="M175" s="2521"/>
      <c r="N175" s="2537"/>
      <c r="O175" s="1192"/>
      <c r="P175" s="2435"/>
      <c r="Q175" s="2436"/>
      <c r="R175" s="2436"/>
      <c r="S175" s="2436"/>
      <c r="T175" s="2436"/>
      <c r="U175" s="2436"/>
      <c r="V175" s="2436"/>
      <c r="W175" s="2436"/>
      <c r="X175" s="2436"/>
      <c r="Y175" s="2436"/>
      <c r="Z175" s="2436"/>
      <c r="AA175" s="2436"/>
      <c r="AB175" s="2436"/>
      <c r="AC175" s="2436"/>
      <c r="AD175" s="2436"/>
      <c r="AE175" s="2436"/>
      <c r="AF175" s="2436"/>
      <c r="AG175" s="2436"/>
      <c r="AH175" s="2436"/>
      <c r="AI175" s="2436"/>
      <c r="AJ175" s="2436"/>
      <c r="AK175" s="2436"/>
      <c r="AL175" s="2436"/>
      <c r="AM175" s="2436"/>
      <c r="AN175" s="2436"/>
      <c r="AO175" s="2437"/>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441"/>
      <c r="D176" s="2373"/>
      <c r="E176" s="2373"/>
      <c r="F176" s="2373"/>
      <c r="G176" s="2373"/>
      <c r="H176" s="2373"/>
      <c r="I176" s="2521"/>
      <c r="J176" s="2521"/>
      <c r="K176" s="2521"/>
      <c r="L176" s="2521"/>
      <c r="M176" s="2521"/>
      <c r="N176" s="2537"/>
      <c r="O176" s="1192"/>
      <c r="P176" s="2435"/>
      <c r="Q176" s="2436"/>
      <c r="R176" s="2436"/>
      <c r="S176" s="2436"/>
      <c r="T176" s="2436"/>
      <c r="U176" s="2436"/>
      <c r="V176" s="2436"/>
      <c r="W176" s="2436"/>
      <c r="X176" s="2436"/>
      <c r="Y176" s="2436"/>
      <c r="Z176" s="2436"/>
      <c r="AA176" s="2436"/>
      <c r="AB176" s="2436"/>
      <c r="AC176" s="2436"/>
      <c r="AD176" s="2436"/>
      <c r="AE176" s="2436"/>
      <c r="AF176" s="2436"/>
      <c r="AG176" s="2436"/>
      <c r="AH176" s="2436"/>
      <c r="AI176" s="2436"/>
      <c r="AJ176" s="2436"/>
      <c r="AK176" s="2436"/>
      <c r="AL176" s="2436"/>
      <c r="AM176" s="2436"/>
      <c r="AN176" s="2436"/>
      <c r="AO176" s="2437"/>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441"/>
      <c r="D177" s="2373"/>
      <c r="E177" s="2373"/>
      <c r="F177" s="2373"/>
      <c r="G177" s="2373"/>
      <c r="H177" s="2373"/>
      <c r="I177" s="2521"/>
      <c r="J177" s="2521"/>
      <c r="K177" s="2521"/>
      <c r="L177" s="2521"/>
      <c r="M177" s="2521"/>
      <c r="N177" s="2537"/>
      <c r="O177" s="1192"/>
      <c r="P177" s="2435"/>
      <c r="Q177" s="2436"/>
      <c r="R177" s="2436"/>
      <c r="S177" s="2436"/>
      <c r="T177" s="2436"/>
      <c r="U177" s="2436"/>
      <c r="V177" s="2436"/>
      <c r="W177" s="2436"/>
      <c r="X177" s="2436"/>
      <c r="Y177" s="2436"/>
      <c r="Z177" s="2436"/>
      <c r="AA177" s="2436"/>
      <c r="AB177" s="2436"/>
      <c r="AC177" s="2436"/>
      <c r="AD177" s="2436"/>
      <c r="AE177" s="2436"/>
      <c r="AF177" s="2436"/>
      <c r="AG177" s="2436"/>
      <c r="AH177" s="2436"/>
      <c r="AI177" s="2436"/>
      <c r="AJ177" s="2436"/>
      <c r="AK177" s="2436"/>
      <c r="AL177" s="2436"/>
      <c r="AM177" s="2436"/>
      <c r="AN177" s="2436"/>
      <c r="AO177" s="2437"/>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441"/>
      <c r="D178" s="2373"/>
      <c r="E178" s="2373"/>
      <c r="F178" s="2373"/>
      <c r="G178" s="2373"/>
      <c r="H178" s="2373"/>
      <c r="I178" s="2521"/>
      <c r="J178" s="2521"/>
      <c r="K178" s="2521"/>
      <c r="L178" s="2521"/>
      <c r="M178" s="2521"/>
      <c r="N178" s="2537"/>
      <c r="O178" s="1192"/>
      <c r="P178" s="2435"/>
      <c r="Q178" s="2436"/>
      <c r="R178" s="2436"/>
      <c r="S178" s="2436"/>
      <c r="T178" s="2436"/>
      <c r="U178" s="2436"/>
      <c r="V178" s="2436"/>
      <c r="W178" s="2436"/>
      <c r="X178" s="2436"/>
      <c r="Y178" s="2436"/>
      <c r="Z178" s="2436"/>
      <c r="AA178" s="2436"/>
      <c r="AB178" s="2436"/>
      <c r="AC178" s="2436"/>
      <c r="AD178" s="2436"/>
      <c r="AE178" s="2436"/>
      <c r="AF178" s="2436"/>
      <c r="AG178" s="2436"/>
      <c r="AH178" s="2436"/>
      <c r="AI178" s="2436"/>
      <c r="AJ178" s="2436"/>
      <c r="AK178" s="2436"/>
      <c r="AL178" s="2436"/>
      <c r="AM178" s="2436"/>
      <c r="AN178" s="2436"/>
      <c r="AO178" s="2437"/>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441"/>
      <c r="D179" s="2373"/>
      <c r="E179" s="2373"/>
      <c r="F179" s="2373"/>
      <c r="G179" s="2373"/>
      <c r="H179" s="2373"/>
      <c r="I179" s="2521"/>
      <c r="J179" s="2521"/>
      <c r="K179" s="2521"/>
      <c r="L179" s="2521"/>
      <c r="M179" s="2521"/>
      <c r="N179" s="2537"/>
      <c r="O179" s="1192"/>
      <c r="P179" s="2435"/>
      <c r="Q179" s="2436"/>
      <c r="R179" s="2436"/>
      <c r="S179" s="2436"/>
      <c r="T179" s="2436"/>
      <c r="U179" s="2436"/>
      <c r="V179" s="2436"/>
      <c r="W179" s="2436"/>
      <c r="X179" s="2436"/>
      <c r="Y179" s="2436"/>
      <c r="Z179" s="2436"/>
      <c r="AA179" s="2436"/>
      <c r="AB179" s="2436"/>
      <c r="AC179" s="2436"/>
      <c r="AD179" s="2436"/>
      <c r="AE179" s="2436"/>
      <c r="AF179" s="2436"/>
      <c r="AG179" s="2436"/>
      <c r="AH179" s="2436"/>
      <c r="AI179" s="2436"/>
      <c r="AJ179" s="2436"/>
      <c r="AK179" s="2436"/>
      <c r="AL179" s="2436"/>
      <c r="AM179" s="2436"/>
      <c r="AN179" s="2436"/>
      <c r="AO179" s="2437"/>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538"/>
      <c r="D180" s="2539"/>
      <c r="E180" s="2539"/>
      <c r="F180" s="2539"/>
      <c r="G180" s="2539"/>
      <c r="H180" s="2539"/>
      <c r="I180" s="2540"/>
      <c r="J180" s="2540"/>
      <c r="K180" s="2540"/>
      <c r="L180" s="2540"/>
      <c r="M180" s="2540"/>
      <c r="N180" s="2541"/>
      <c r="O180" s="1192"/>
      <c r="P180" s="2438"/>
      <c r="Q180" s="2439"/>
      <c r="R180" s="2439"/>
      <c r="S180" s="2439"/>
      <c r="T180" s="2439"/>
      <c r="U180" s="2439"/>
      <c r="V180" s="2439"/>
      <c r="W180" s="2439"/>
      <c r="X180" s="2439"/>
      <c r="Y180" s="2439"/>
      <c r="Z180" s="2439"/>
      <c r="AA180" s="2439"/>
      <c r="AB180" s="2439"/>
      <c r="AC180" s="2439"/>
      <c r="AD180" s="2439"/>
      <c r="AE180" s="2439"/>
      <c r="AF180" s="2439"/>
      <c r="AG180" s="2439"/>
      <c r="AH180" s="2439"/>
      <c r="AI180" s="2439"/>
      <c r="AJ180" s="2439"/>
      <c r="AK180" s="2439"/>
      <c r="AL180" s="2439"/>
      <c r="AM180" s="2439"/>
      <c r="AN180" s="2439"/>
      <c r="AO180" s="2440"/>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545" t="s">
        <v>2333</v>
      </c>
      <c r="D182" s="2546"/>
      <c r="E182" s="2546"/>
      <c r="F182" s="2546"/>
      <c r="G182" s="2546"/>
      <c r="H182" s="2546"/>
      <c r="I182" s="2546"/>
      <c r="J182" s="2546"/>
      <c r="K182" s="2546"/>
      <c r="L182" s="2546"/>
      <c r="M182" s="2546"/>
      <c r="N182" s="2546"/>
      <c r="O182" s="2546"/>
      <c r="P182" s="2546"/>
      <c r="Q182" s="2546"/>
      <c r="R182" s="2546"/>
      <c r="S182" s="2546"/>
      <c r="T182" s="2546"/>
      <c r="U182" s="2546"/>
      <c r="V182" s="2546"/>
      <c r="W182" s="2546"/>
      <c r="X182" s="2546"/>
      <c r="Y182" s="2546"/>
      <c r="Z182" s="2546"/>
      <c r="AA182" s="2546"/>
      <c r="AB182" s="2546"/>
      <c r="AC182" s="2546"/>
      <c r="AD182" s="2546"/>
      <c r="AE182" s="2547"/>
      <c r="AF182" s="1192"/>
      <c r="AG182" s="1192"/>
      <c r="AH182" s="2555"/>
      <c r="AI182" s="2555"/>
      <c r="AJ182" s="2555"/>
      <c r="AK182" s="2555"/>
      <c r="AL182" s="2555"/>
      <c r="AM182" s="2555"/>
      <c r="AN182" s="2555"/>
      <c r="AO182" s="2555"/>
      <c r="AP182" s="2555"/>
      <c r="AQ182" s="2555"/>
      <c r="AR182" s="2555"/>
      <c r="AS182" s="2555"/>
      <c r="AT182" s="2555"/>
      <c r="AU182" s="2555"/>
      <c r="AV182" s="2555"/>
      <c r="AW182" s="2555"/>
      <c r="AX182" s="2555"/>
      <c r="AY182" s="2555"/>
      <c r="AZ182" s="2555"/>
      <c r="BA182" s="2555"/>
      <c r="BB182" s="2555"/>
      <c r="BC182" s="2555"/>
      <c r="BD182" s="2555"/>
      <c r="BE182" s="2555"/>
    </row>
    <row r="183" spans="1:57" ht="15.75" customHeight="1" thickBot="1">
      <c r="A183" s="1192"/>
      <c r="B183" s="1192"/>
      <c r="C183" s="2548"/>
      <c r="D183" s="2549"/>
      <c r="E183" s="2549"/>
      <c r="F183" s="2549"/>
      <c r="G183" s="2549"/>
      <c r="H183" s="2549"/>
      <c r="I183" s="2549"/>
      <c r="J183" s="2549"/>
      <c r="K183" s="2549"/>
      <c r="L183" s="2549"/>
      <c r="M183" s="2549"/>
      <c r="N183" s="2549"/>
      <c r="O183" s="2549"/>
      <c r="P183" s="2549"/>
      <c r="Q183" s="2549"/>
      <c r="R183" s="2549"/>
      <c r="S183" s="2549"/>
      <c r="T183" s="2549"/>
      <c r="U183" s="2549"/>
      <c r="V183" s="2549"/>
      <c r="W183" s="2549"/>
      <c r="X183" s="2549"/>
      <c r="Y183" s="2549"/>
      <c r="Z183" s="2549"/>
      <c r="AA183" s="2549"/>
      <c r="AB183" s="2549"/>
      <c r="AC183" s="2549"/>
      <c r="AD183" s="2549"/>
      <c r="AE183" s="2550"/>
      <c r="AF183" s="1192"/>
      <c r="AG183" s="1192"/>
      <c r="AH183" s="2555"/>
      <c r="AI183" s="2555"/>
      <c r="AJ183" s="2555"/>
      <c r="AK183" s="2555"/>
      <c r="AL183" s="2555"/>
      <c r="AM183" s="2555"/>
      <c r="AN183" s="2555"/>
      <c r="AO183" s="2555"/>
      <c r="AP183" s="2555"/>
      <c r="AQ183" s="2555"/>
      <c r="AR183" s="2555"/>
      <c r="AS183" s="2555"/>
      <c r="AT183" s="2555"/>
      <c r="AU183" s="2555"/>
      <c r="AV183" s="2555"/>
      <c r="AW183" s="2555"/>
      <c r="AX183" s="2555"/>
      <c r="AY183" s="2555"/>
      <c r="AZ183" s="2555"/>
      <c r="BA183" s="2555"/>
      <c r="BB183" s="2555"/>
      <c r="BC183" s="2555"/>
      <c r="BD183" s="2555"/>
      <c r="BE183" s="2555"/>
    </row>
    <row r="184" spans="1:57" ht="15.75" customHeight="1">
      <c r="A184" s="1192"/>
      <c r="B184" s="1192"/>
      <c r="C184" s="2415" t="s">
        <v>2331</v>
      </c>
      <c r="D184" s="2416"/>
      <c r="E184" s="2416"/>
      <c r="F184" s="2416"/>
      <c r="G184" s="2416"/>
      <c r="H184" s="2416"/>
      <c r="I184" s="2416"/>
      <c r="J184" s="2416"/>
      <c r="K184" s="2416"/>
      <c r="L184" s="2416"/>
      <c r="M184" s="2416"/>
      <c r="N184" s="2416" t="s">
        <v>2332</v>
      </c>
      <c r="O184" s="2416"/>
      <c r="P184" s="2416"/>
      <c r="Q184" s="2416"/>
      <c r="R184" s="2416"/>
      <c r="S184" s="2416"/>
      <c r="T184" s="2416"/>
      <c r="U184" s="2367" t="s">
        <v>2331</v>
      </c>
      <c r="V184" s="2367"/>
      <c r="W184" s="2367"/>
      <c r="X184" s="2367"/>
      <c r="Y184" s="2367"/>
      <c r="Z184" s="2367"/>
      <c r="AA184" s="2367"/>
      <c r="AB184" s="2367"/>
      <c r="AC184" s="2367"/>
      <c r="AD184" s="2367"/>
      <c r="AE184" s="2368"/>
      <c r="AF184" s="1192"/>
      <c r="AG184" s="1192"/>
      <c r="AH184" s="2555"/>
      <c r="AI184" s="2555"/>
      <c r="AJ184" s="2555"/>
      <c r="AK184" s="2555"/>
      <c r="AL184" s="2555"/>
      <c r="AM184" s="2555"/>
      <c r="AN184" s="2555"/>
      <c r="AO184" s="2555"/>
      <c r="AP184" s="2555"/>
      <c r="AQ184" s="2555"/>
      <c r="AR184" s="2555"/>
      <c r="AS184" s="2555"/>
      <c r="AT184" s="2555"/>
      <c r="AU184" s="2555"/>
      <c r="AV184" s="2555"/>
      <c r="AW184" s="2555"/>
      <c r="AX184" s="2555"/>
      <c r="AY184" s="2555"/>
      <c r="AZ184" s="2555"/>
      <c r="BA184" s="2555"/>
      <c r="BB184" s="2555"/>
      <c r="BC184" s="2555"/>
      <c r="BD184" s="2555"/>
      <c r="BE184" s="2555"/>
    </row>
    <row r="185" spans="1:57" ht="15.75" customHeight="1">
      <c r="A185" s="1192"/>
      <c r="B185" s="1192"/>
      <c r="C185" s="2542" t="s">
        <v>2330</v>
      </c>
      <c r="D185" s="2543"/>
      <c r="E185" s="2543"/>
      <c r="F185" s="2543"/>
      <c r="G185" s="2543"/>
      <c r="H185" s="2543"/>
      <c r="I185" s="2543"/>
      <c r="J185" s="2543"/>
      <c r="K185" s="2543"/>
      <c r="L185" s="2543"/>
      <c r="M185" s="2543"/>
      <c r="N185" s="2544">
        <f>'Sources and Uses Budget'!B105</f>
        <v>43264841</v>
      </c>
      <c r="O185" s="2544"/>
      <c r="P185" s="2544"/>
      <c r="Q185" s="2544"/>
      <c r="R185" s="2544"/>
      <c r="S185" s="2544"/>
      <c r="T185" s="2544"/>
      <c r="U185" s="2556"/>
      <c r="V185" s="2556"/>
      <c r="W185" s="2556"/>
      <c r="X185" s="2556"/>
      <c r="Y185" s="2556"/>
      <c r="Z185" s="2556"/>
      <c r="AA185" s="2556"/>
      <c r="AB185" s="2556"/>
      <c r="AC185" s="2556"/>
      <c r="AD185" s="2556"/>
      <c r="AE185" s="2557"/>
      <c r="AF185" s="1192"/>
      <c r="AG185" s="1192"/>
      <c r="AH185" s="2555"/>
      <c r="AI185" s="2555"/>
      <c r="AJ185" s="2555"/>
      <c r="AK185" s="2555"/>
      <c r="AL185" s="2555"/>
      <c r="AM185" s="2555"/>
      <c r="AN185" s="2555"/>
      <c r="AO185" s="2555"/>
      <c r="AP185" s="2555"/>
      <c r="AQ185" s="2555"/>
      <c r="AR185" s="2555"/>
      <c r="AS185" s="2555"/>
      <c r="AT185" s="2555"/>
      <c r="AU185" s="2555"/>
      <c r="AV185" s="2555"/>
      <c r="AW185" s="2555"/>
      <c r="AX185" s="2555"/>
      <c r="AY185" s="2555"/>
      <c r="AZ185" s="2555"/>
      <c r="BA185" s="2555"/>
      <c r="BB185" s="2555"/>
      <c r="BC185" s="2555"/>
      <c r="BD185" s="2555"/>
      <c r="BE185" s="2555"/>
    </row>
    <row r="186" spans="1:57" ht="15.75" customHeight="1">
      <c r="A186" s="1192"/>
      <c r="B186" s="1192"/>
      <c r="C186" s="2542" t="s">
        <v>2329</v>
      </c>
      <c r="D186" s="2543"/>
      <c r="E186" s="2543"/>
      <c r="F186" s="2543"/>
      <c r="G186" s="2543"/>
      <c r="H186" s="2543"/>
      <c r="I186" s="2543"/>
      <c r="J186" s="2543"/>
      <c r="K186" s="2543"/>
      <c r="L186" s="2543"/>
      <c r="M186" s="2543"/>
      <c r="N186" s="2544">
        <f>N185/J29</f>
        <v>801200.75925925921</v>
      </c>
      <c r="O186" s="2544"/>
      <c r="P186" s="2544"/>
      <c r="Q186" s="2544"/>
      <c r="R186" s="2544"/>
      <c r="S186" s="2544"/>
      <c r="T186" s="2544"/>
      <c r="U186" s="1232"/>
      <c r="V186" s="1232"/>
      <c r="W186" s="1232"/>
      <c r="X186" s="1232"/>
      <c r="Y186" s="1232"/>
      <c r="Z186" s="1232"/>
      <c r="AA186" s="1232"/>
      <c r="AB186" s="1232"/>
      <c r="AC186" s="1232"/>
      <c r="AD186" s="1232"/>
      <c r="AE186" s="1233"/>
      <c r="AF186" s="1192"/>
      <c r="AG186" s="1192"/>
      <c r="AH186" s="2555"/>
      <c r="AI186" s="2555"/>
      <c r="AJ186" s="2555"/>
      <c r="AK186" s="2555"/>
      <c r="AL186" s="2555"/>
      <c r="AM186" s="2555"/>
      <c r="AN186" s="2555"/>
      <c r="AO186" s="2555"/>
      <c r="AP186" s="2555"/>
      <c r="AQ186" s="2555"/>
      <c r="AR186" s="2555"/>
      <c r="AS186" s="2555"/>
      <c r="AT186" s="2555"/>
      <c r="AU186" s="2555"/>
      <c r="AV186" s="2555"/>
      <c r="AW186" s="2555"/>
      <c r="AX186" s="2555"/>
      <c r="AY186" s="2555"/>
      <c r="AZ186" s="2555"/>
      <c r="BA186" s="2555"/>
      <c r="BB186" s="2555"/>
      <c r="BC186" s="2555"/>
      <c r="BD186" s="2555"/>
      <c r="BE186" s="2555"/>
    </row>
    <row r="187" spans="1:57" ht="15.75" customHeight="1">
      <c r="A187" s="1192"/>
      <c r="B187" s="1192"/>
      <c r="C187" s="2558" t="s">
        <v>2328</v>
      </c>
      <c r="D187" s="2559"/>
      <c r="E187" s="2559"/>
      <c r="F187" s="2559"/>
      <c r="G187" s="2559"/>
      <c r="H187" s="2559"/>
      <c r="I187" s="2559"/>
      <c r="J187" s="2559"/>
      <c r="K187" s="2559"/>
      <c r="L187" s="2559"/>
      <c r="M187" s="2559"/>
      <c r="N187" s="2409">
        <v>0</v>
      </c>
      <c r="O187" s="2409"/>
      <c r="P187" s="2409"/>
      <c r="Q187" s="2409"/>
      <c r="R187" s="2409"/>
      <c r="S187" s="2409"/>
      <c r="T187" s="2409"/>
      <c r="U187" s="2385"/>
      <c r="V187" s="2385"/>
      <c r="W187" s="2385"/>
      <c r="X187" s="2385"/>
      <c r="Y187" s="2385"/>
      <c r="Z187" s="2385"/>
      <c r="AA187" s="2385"/>
      <c r="AB187" s="2385"/>
      <c r="AC187" s="2385"/>
      <c r="AD187" s="2385"/>
      <c r="AE187" s="2386"/>
      <c r="AF187" s="1192"/>
      <c r="AG187" s="1192"/>
      <c r="AH187" s="2555"/>
      <c r="AI187" s="2555"/>
      <c r="AJ187" s="2555"/>
      <c r="AK187" s="2555"/>
      <c r="AL187" s="2555"/>
      <c r="AM187" s="2555"/>
      <c r="AN187" s="2555"/>
      <c r="AO187" s="2555"/>
      <c r="AP187" s="2555"/>
      <c r="AQ187" s="2555"/>
      <c r="AR187" s="2555"/>
      <c r="AS187" s="2555"/>
      <c r="AT187" s="2555"/>
      <c r="AU187" s="2555"/>
      <c r="AV187" s="2555"/>
      <c r="AW187" s="2555"/>
      <c r="AX187" s="2555"/>
      <c r="AY187" s="2555"/>
      <c r="AZ187" s="2555"/>
      <c r="BA187" s="2555"/>
      <c r="BB187" s="2555"/>
      <c r="BC187" s="2555"/>
      <c r="BD187" s="2555"/>
      <c r="BE187" s="2555"/>
    </row>
    <row r="188" spans="1:57" ht="15.75" customHeight="1" thickBot="1">
      <c r="A188" s="1192"/>
      <c r="B188" s="1192"/>
      <c r="C188" s="2542" t="s">
        <v>2327</v>
      </c>
      <c r="D188" s="2543"/>
      <c r="E188" s="2543"/>
      <c r="F188" s="2543"/>
      <c r="G188" s="2543"/>
      <c r="H188" s="2543"/>
      <c r="I188" s="2543"/>
      <c r="J188" s="2543"/>
      <c r="K188" s="2543"/>
      <c r="L188" s="2543"/>
      <c r="M188" s="2543"/>
      <c r="N188" s="2560">
        <f>SUM('Sources and Uses Budget'!B85:B86)</f>
        <v>101975</v>
      </c>
      <c r="O188" s="2560"/>
      <c r="P188" s="2560"/>
      <c r="Q188" s="2560"/>
      <c r="R188" s="2560"/>
      <c r="S188" s="2560"/>
      <c r="T188" s="2560"/>
      <c r="U188" s="2385"/>
      <c r="V188" s="2385"/>
      <c r="W188" s="2385"/>
      <c r="X188" s="2385"/>
      <c r="Y188" s="2385"/>
      <c r="Z188" s="2385"/>
      <c r="AA188" s="2385"/>
      <c r="AB188" s="2385"/>
      <c r="AC188" s="2385"/>
      <c r="AD188" s="2385"/>
      <c r="AE188" s="2386"/>
      <c r="AF188" s="1192"/>
      <c r="AG188" s="1192"/>
      <c r="AH188" s="2555"/>
      <c r="AI188" s="2555"/>
      <c r="AJ188" s="2555"/>
      <c r="AK188" s="2555"/>
      <c r="AL188" s="2555"/>
      <c r="AM188" s="2555"/>
      <c r="AN188" s="2555"/>
      <c r="AO188" s="2555"/>
      <c r="AP188" s="2555"/>
      <c r="AQ188" s="2555"/>
      <c r="AR188" s="2555"/>
      <c r="AS188" s="2555"/>
      <c r="AT188" s="2555"/>
      <c r="AU188" s="2555"/>
      <c r="AV188" s="2555"/>
      <c r="AW188" s="2555"/>
      <c r="AX188" s="2555"/>
      <c r="AY188" s="2555"/>
      <c r="AZ188" s="2555"/>
      <c r="BA188" s="2555"/>
      <c r="BB188" s="2555"/>
      <c r="BC188" s="2555"/>
      <c r="BD188" s="2555"/>
      <c r="BE188" s="2555"/>
    </row>
    <row r="189" spans="1:57" ht="15.75" customHeight="1" thickBot="1">
      <c r="A189" s="1192"/>
      <c r="B189" s="1192"/>
      <c r="C189" s="2542" t="s">
        <v>2326</v>
      </c>
      <c r="D189" s="2543"/>
      <c r="E189" s="2543"/>
      <c r="F189" s="2543"/>
      <c r="G189" s="2543"/>
      <c r="H189" s="2543"/>
      <c r="I189" s="2543"/>
      <c r="J189" s="2543"/>
      <c r="K189" s="2543"/>
      <c r="L189" s="2543"/>
      <c r="M189" s="2543"/>
      <c r="N189" s="2560">
        <f>'Sources and Uses Budget'!B8</f>
        <v>5800000</v>
      </c>
      <c r="O189" s="2560"/>
      <c r="P189" s="2560"/>
      <c r="Q189" s="2560"/>
      <c r="R189" s="2560"/>
      <c r="S189" s="2560"/>
      <c r="T189" s="2560"/>
      <c r="U189" s="2385"/>
      <c r="V189" s="2385"/>
      <c r="W189" s="2385"/>
      <c r="X189" s="2385"/>
      <c r="Y189" s="2385"/>
      <c r="Z189" s="2385"/>
      <c r="AA189" s="2385"/>
      <c r="AB189" s="2385"/>
      <c r="AC189" s="2385"/>
      <c r="AD189" s="2385"/>
      <c r="AE189" s="2386"/>
      <c r="AF189" s="1192"/>
      <c r="AG189" s="1192"/>
      <c r="AH189" s="2564" t="s">
        <v>2324</v>
      </c>
      <c r="AI189" s="2565"/>
      <c r="AJ189" s="2565"/>
      <c r="AK189" s="2565"/>
      <c r="AL189" s="2565"/>
      <c r="AM189" s="2565"/>
      <c r="AN189" s="2565"/>
      <c r="AO189" s="2565"/>
      <c r="AP189" s="2565"/>
      <c r="AQ189" s="2565"/>
      <c r="AR189" s="2565"/>
      <c r="AS189" s="2565"/>
      <c r="AT189" s="2565"/>
      <c r="AU189" s="2565"/>
      <c r="AV189" s="2565"/>
      <c r="AW189" s="2565"/>
      <c r="AX189" s="2565"/>
      <c r="AY189" s="2565"/>
      <c r="AZ189" s="2565"/>
      <c r="BA189" s="2565"/>
      <c r="BB189" s="2565"/>
      <c r="BC189" s="2565"/>
      <c r="BD189" s="2565"/>
      <c r="BE189" s="2566"/>
    </row>
    <row r="190" spans="1:57" ht="15.75" customHeight="1">
      <c r="A190" s="1192"/>
      <c r="B190" s="1192"/>
      <c r="C190" s="2542" t="s">
        <v>2325</v>
      </c>
      <c r="D190" s="2543"/>
      <c r="E190" s="2543"/>
      <c r="F190" s="2543"/>
      <c r="G190" s="2543"/>
      <c r="H190" s="2543"/>
      <c r="I190" s="2543"/>
      <c r="J190" s="2543"/>
      <c r="K190" s="2543"/>
      <c r="L190" s="2543"/>
      <c r="M190" s="2543"/>
      <c r="N190" s="2551">
        <v>0</v>
      </c>
      <c r="O190" s="2551"/>
      <c r="P190" s="2551"/>
      <c r="Q190" s="2551"/>
      <c r="R190" s="2551"/>
      <c r="S190" s="2551"/>
      <c r="T190" s="2551"/>
      <c r="U190" s="2385"/>
      <c r="V190" s="2385"/>
      <c r="W190" s="2385"/>
      <c r="X190" s="2385"/>
      <c r="Y190" s="2385"/>
      <c r="Z190" s="2385"/>
      <c r="AA190" s="2385"/>
      <c r="AB190" s="2385"/>
      <c r="AC190" s="2385"/>
      <c r="AD190" s="2385"/>
      <c r="AE190" s="2386"/>
      <c r="AF190" s="1192"/>
      <c r="AG190" s="1192"/>
      <c r="AH190" s="2567" t="s">
        <v>2324</v>
      </c>
      <c r="AI190" s="2568"/>
      <c r="AJ190" s="2568"/>
      <c r="AK190" s="2568"/>
      <c r="AL190" s="2568"/>
      <c r="AM190" s="2568"/>
      <c r="AN190" s="2568"/>
      <c r="AO190" s="2568"/>
      <c r="AP190" s="2568"/>
      <c r="AQ190" s="2568"/>
      <c r="AR190" s="2568"/>
      <c r="AS190" s="2568"/>
      <c r="AT190" s="2568"/>
      <c r="AU190" s="2569">
        <v>0</v>
      </c>
      <c r="AV190" s="2569"/>
      <c r="AW190" s="2569"/>
      <c r="AX190" s="2569"/>
      <c r="AY190" s="2569"/>
      <c r="AZ190" s="2569"/>
      <c r="BA190" s="2569"/>
      <c r="BB190" s="2569"/>
      <c r="BC190" s="2570"/>
      <c r="BD190" s="2571"/>
      <c r="BE190" s="2572"/>
    </row>
    <row r="191" spans="1:57" ht="15.75" customHeight="1">
      <c r="A191" s="1192"/>
      <c r="B191" s="1192"/>
      <c r="C191" s="2542" t="s">
        <v>2323</v>
      </c>
      <c r="D191" s="2543"/>
      <c r="E191" s="2543"/>
      <c r="F191" s="2543"/>
      <c r="G191" s="2543"/>
      <c r="H191" s="2543"/>
      <c r="I191" s="2543"/>
      <c r="J191" s="2543"/>
      <c r="K191" s="2543"/>
      <c r="L191" s="2543"/>
      <c r="M191" s="2543"/>
      <c r="N191" s="2551">
        <v>0</v>
      </c>
      <c r="O191" s="2551"/>
      <c r="P191" s="2551"/>
      <c r="Q191" s="2551"/>
      <c r="R191" s="2551"/>
      <c r="S191" s="2551"/>
      <c r="T191" s="2551"/>
      <c r="U191" s="2385"/>
      <c r="V191" s="2385"/>
      <c r="W191" s="2385"/>
      <c r="X191" s="2385"/>
      <c r="Y191" s="2385"/>
      <c r="Z191" s="2385"/>
      <c r="AA191" s="2385"/>
      <c r="AB191" s="2385"/>
      <c r="AC191" s="2385"/>
      <c r="AD191" s="2385"/>
      <c r="AE191" s="2386"/>
      <c r="AF191" s="1192"/>
      <c r="AG191" s="1192"/>
      <c r="AH191" s="2552" t="s">
        <v>2322</v>
      </c>
      <c r="AI191" s="2553"/>
      <c r="AJ191" s="2553"/>
      <c r="AK191" s="2553"/>
      <c r="AL191" s="2553"/>
      <c r="AM191" s="2553"/>
      <c r="AN191" s="2553"/>
      <c r="AO191" s="2553"/>
      <c r="AP191" s="2553"/>
      <c r="AQ191" s="2553"/>
      <c r="AR191" s="2553"/>
      <c r="AS191" s="2553"/>
      <c r="AT191" s="2553"/>
      <c r="AU191" s="2554"/>
      <c r="AV191" s="2554"/>
      <c r="AW191" s="2554"/>
      <c r="AX191" s="2554"/>
      <c r="AY191" s="2554"/>
      <c r="AZ191" s="2554"/>
      <c r="BA191" s="2554"/>
      <c r="BB191" s="2554"/>
      <c r="BC191" s="2561"/>
      <c r="BD191" s="2562"/>
      <c r="BE191" s="2563"/>
    </row>
    <row r="192" spans="1:57" ht="15.75" customHeight="1">
      <c r="A192" s="1192"/>
      <c r="B192" s="1192"/>
      <c r="C192" s="2577" t="s">
        <v>299</v>
      </c>
      <c r="D192" s="2520"/>
      <c r="E192" s="2573" t="s">
        <v>2320</v>
      </c>
      <c r="F192" s="2573"/>
      <c r="G192" s="2573"/>
      <c r="H192" s="2573"/>
      <c r="I192" s="2573"/>
      <c r="J192" s="2573"/>
      <c r="K192" s="2573"/>
      <c r="L192" s="2573"/>
      <c r="M192" s="2573"/>
      <c r="N192" s="2551">
        <v>0</v>
      </c>
      <c r="O192" s="2551"/>
      <c r="P192" s="2551"/>
      <c r="Q192" s="2551"/>
      <c r="R192" s="2551"/>
      <c r="S192" s="2551"/>
      <c r="T192" s="2551"/>
      <c r="U192" s="2385"/>
      <c r="V192" s="2385"/>
      <c r="W192" s="2385"/>
      <c r="X192" s="2385"/>
      <c r="Y192" s="2385"/>
      <c r="Z192" s="2385"/>
      <c r="AA192" s="2385"/>
      <c r="AB192" s="2385"/>
      <c r="AC192" s="2385"/>
      <c r="AD192" s="2385"/>
      <c r="AE192" s="2386"/>
      <c r="AF192" s="1192"/>
      <c r="AG192" s="1192"/>
      <c r="AH192" s="2578" t="s">
        <v>2321</v>
      </c>
      <c r="AI192" s="2579"/>
      <c r="AJ192" s="2579"/>
      <c r="AK192" s="2579"/>
      <c r="AL192" s="2579"/>
      <c r="AM192" s="2579"/>
      <c r="AN192" s="2579"/>
      <c r="AO192" s="2579"/>
      <c r="AP192" s="2579"/>
      <c r="AQ192" s="2579"/>
      <c r="AR192" s="2579"/>
      <c r="AS192" s="2579"/>
      <c r="AT192" s="2579"/>
      <c r="AU192" s="2580">
        <f>SUM(AU190:BB191)</f>
        <v>0</v>
      </c>
      <c r="AV192" s="2580"/>
      <c r="AW192" s="2580"/>
      <c r="AX192" s="2580"/>
      <c r="AY192" s="2580"/>
      <c r="AZ192" s="2580"/>
      <c r="BA192" s="2580"/>
      <c r="BB192" s="2580"/>
      <c r="BC192" s="2561"/>
      <c r="BD192" s="2562"/>
      <c r="BE192" s="2563"/>
    </row>
    <row r="193" spans="1:57" ht="15.75" customHeight="1" thickBot="1">
      <c r="A193" s="1192"/>
      <c r="B193" s="1192"/>
      <c r="C193" s="2441" t="s">
        <v>299</v>
      </c>
      <c r="D193" s="2373"/>
      <c r="E193" s="2573" t="s">
        <v>2320</v>
      </c>
      <c r="F193" s="2573"/>
      <c r="G193" s="2573"/>
      <c r="H193" s="2573"/>
      <c r="I193" s="2573"/>
      <c r="J193" s="2573"/>
      <c r="K193" s="2573"/>
      <c r="L193" s="2573"/>
      <c r="M193" s="2573"/>
      <c r="N193" s="2551">
        <v>0</v>
      </c>
      <c r="O193" s="2551"/>
      <c r="P193" s="2551"/>
      <c r="Q193" s="2551"/>
      <c r="R193" s="2551"/>
      <c r="S193" s="2551"/>
      <c r="T193" s="2551"/>
      <c r="U193" s="2385"/>
      <c r="V193" s="2385"/>
      <c r="W193" s="2385"/>
      <c r="X193" s="2385"/>
      <c r="Y193" s="2385"/>
      <c r="Z193" s="2385"/>
      <c r="AA193" s="2385"/>
      <c r="AB193" s="2385"/>
      <c r="AC193" s="2385"/>
      <c r="AD193" s="2385"/>
      <c r="AE193" s="2386"/>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574"/>
      <c r="BD193" s="2575"/>
      <c r="BE193" s="2576"/>
    </row>
    <row r="194" spans="1:57" ht="15.75" customHeight="1" thickBot="1">
      <c r="A194" s="1192"/>
      <c r="B194" s="1192"/>
      <c r="C194" s="2598" t="s">
        <v>299</v>
      </c>
      <c r="D194" s="2599"/>
      <c r="E194" s="2600" t="s">
        <v>2320</v>
      </c>
      <c r="F194" s="2600"/>
      <c r="G194" s="2600"/>
      <c r="H194" s="2600"/>
      <c r="I194" s="2600"/>
      <c r="J194" s="2600"/>
      <c r="K194" s="2600"/>
      <c r="L194" s="2600"/>
      <c r="M194" s="2601"/>
      <c r="N194" s="2602">
        <v>0</v>
      </c>
      <c r="O194" s="2602"/>
      <c r="P194" s="2602"/>
      <c r="Q194" s="2602"/>
      <c r="R194" s="2602"/>
      <c r="S194" s="2602"/>
      <c r="T194" s="2603"/>
      <c r="U194" s="2604"/>
      <c r="V194" s="2605"/>
      <c r="W194" s="2605"/>
      <c r="X194" s="2605"/>
      <c r="Y194" s="2605"/>
      <c r="Z194" s="2605"/>
      <c r="AA194" s="2605"/>
      <c r="AB194" s="2605"/>
      <c r="AC194" s="2605"/>
      <c r="AD194" s="2605"/>
      <c r="AE194" s="2606"/>
      <c r="AF194" s="1192"/>
      <c r="AG194" s="1192"/>
      <c r="AH194" s="2607" t="s">
        <v>2319</v>
      </c>
      <c r="AI194" s="2608"/>
      <c r="AJ194" s="2608"/>
      <c r="AK194" s="2608"/>
      <c r="AL194" s="2608"/>
      <c r="AM194" s="2608"/>
      <c r="AN194" s="2608"/>
      <c r="AO194" s="2608"/>
      <c r="AP194" s="2608"/>
      <c r="AQ194" s="2608"/>
      <c r="AR194" s="2608"/>
      <c r="AS194" s="2608"/>
      <c r="AT194" s="2608"/>
      <c r="AU194" s="2609"/>
      <c r="AV194" s="2609"/>
      <c r="AW194" s="2609"/>
      <c r="AX194" s="2609"/>
      <c r="AY194" s="2609"/>
      <c r="AZ194" s="2609"/>
      <c r="BA194" s="2609"/>
      <c r="BB194" s="2609"/>
      <c r="BC194" s="1173"/>
      <c r="BD194" s="1173"/>
      <c r="BE194" s="1236"/>
    </row>
    <row r="195" spans="1:57" ht="15.75" customHeight="1">
      <c r="A195" s="1192"/>
      <c r="B195" s="1192"/>
      <c r="C195" s="2581" t="s">
        <v>2318</v>
      </c>
      <c r="D195" s="2582"/>
      <c r="E195" s="2582"/>
      <c r="F195" s="2582"/>
      <c r="G195" s="2582"/>
      <c r="H195" s="2582"/>
      <c r="I195" s="2582"/>
      <c r="J195" s="2582"/>
      <c r="K195" s="2582"/>
      <c r="L195" s="2582"/>
      <c r="M195" s="2582"/>
      <c r="N195" s="2583">
        <f>SUM(N187:T194)</f>
        <v>5901975</v>
      </c>
      <c r="O195" s="2583"/>
      <c r="P195" s="2583"/>
      <c r="Q195" s="2583"/>
      <c r="R195" s="2583"/>
      <c r="S195" s="2583"/>
      <c r="T195" s="2584"/>
      <c r="U195" s="1192"/>
      <c r="V195" s="1192"/>
      <c r="W195" s="1192"/>
      <c r="X195" s="1192"/>
      <c r="Y195" s="1192"/>
      <c r="Z195" s="1192"/>
      <c r="AA195" s="1192"/>
      <c r="AB195" s="1192"/>
      <c r="AC195" s="1192"/>
      <c r="AD195" s="1192"/>
      <c r="AE195" s="1192"/>
      <c r="AF195" s="1192"/>
      <c r="AG195" s="1192"/>
      <c r="AH195" s="2585" t="s">
        <v>2317</v>
      </c>
      <c r="AI195" s="2586"/>
      <c r="AJ195" s="2586"/>
      <c r="AK195" s="2586"/>
      <c r="AL195" s="2586"/>
      <c r="AM195" s="2586"/>
      <c r="AN195" s="2586"/>
      <c r="AO195" s="2586"/>
      <c r="AP195" s="2586"/>
      <c r="AQ195" s="2586"/>
      <c r="AR195" s="2586"/>
      <c r="AS195" s="2586"/>
      <c r="AT195" s="2586"/>
      <c r="AU195" s="2586"/>
      <c r="AV195" s="2586"/>
      <c r="AW195" s="2586"/>
      <c r="AX195" s="2586"/>
      <c r="AY195" s="2586"/>
      <c r="AZ195" s="2586"/>
      <c r="BA195" s="2586"/>
      <c r="BB195" s="2586"/>
      <c r="BC195" s="2586"/>
      <c r="BD195" s="2586"/>
      <c r="BE195" s="2587"/>
    </row>
    <row r="196" spans="1:57" ht="15.75" customHeight="1" thickBot="1">
      <c r="A196" s="1192"/>
      <c r="B196" s="1192"/>
      <c r="C196" s="2591" t="s">
        <v>2316</v>
      </c>
      <c r="D196" s="2592"/>
      <c r="E196" s="2592"/>
      <c r="F196" s="2592"/>
      <c r="G196" s="2592"/>
      <c r="H196" s="2592"/>
      <c r="I196" s="2592"/>
      <c r="J196" s="2592"/>
      <c r="K196" s="2592"/>
      <c r="L196" s="2592"/>
      <c r="M196" s="2592"/>
      <c r="N196" s="2593">
        <f>(N185-N195)/J29</f>
        <v>691904.92592592596</v>
      </c>
      <c r="O196" s="2594"/>
      <c r="P196" s="2594"/>
      <c r="Q196" s="2594"/>
      <c r="R196" s="2594"/>
      <c r="S196" s="2594"/>
      <c r="T196" s="2595"/>
      <c r="U196" s="1197"/>
      <c r="V196" s="1192"/>
      <c r="W196" s="1192"/>
      <c r="X196" s="1192"/>
      <c r="Y196" s="1192"/>
      <c r="Z196" s="1192"/>
      <c r="AA196" s="1192"/>
      <c r="AB196" s="1192"/>
      <c r="AC196" s="1192"/>
      <c r="AD196" s="1192"/>
      <c r="AE196" s="1192"/>
      <c r="AF196" s="1192"/>
      <c r="AG196" s="1192"/>
      <c r="AH196" s="2588"/>
      <c r="AI196" s="2589"/>
      <c r="AJ196" s="2589"/>
      <c r="AK196" s="2589"/>
      <c r="AL196" s="2589"/>
      <c r="AM196" s="2589"/>
      <c r="AN196" s="2589"/>
      <c r="AO196" s="2589"/>
      <c r="AP196" s="2589"/>
      <c r="AQ196" s="2589"/>
      <c r="AR196" s="2589"/>
      <c r="AS196" s="2589"/>
      <c r="AT196" s="2589"/>
      <c r="AU196" s="2589"/>
      <c r="AV196" s="2589"/>
      <c r="AW196" s="2589"/>
      <c r="AX196" s="2589"/>
      <c r="AY196" s="2589"/>
      <c r="AZ196" s="2589"/>
      <c r="BA196" s="2589"/>
      <c r="BB196" s="2589"/>
      <c r="BC196" s="2589"/>
      <c r="BD196" s="2589"/>
      <c r="BE196" s="2590"/>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596"/>
      <c r="AI197" s="2596"/>
      <c r="AJ197" s="2596"/>
      <c r="AK197" s="2596"/>
      <c r="AL197" s="2596"/>
      <c r="AM197" s="2596"/>
      <c r="AN197" s="2596"/>
      <c r="AO197" s="2596"/>
      <c r="AP197" s="2596"/>
      <c r="AQ197" s="2596"/>
      <c r="AR197" s="2596"/>
      <c r="AS197" s="2597"/>
      <c r="AT197" s="2597"/>
      <c r="AU197" s="2597"/>
      <c r="AV197" s="2597"/>
      <c r="AW197" s="2597"/>
      <c r="AX197" s="2597"/>
      <c r="AY197" s="2597"/>
      <c r="AZ197" s="2597"/>
      <c r="BA197" s="2597"/>
      <c r="BB197" s="2597"/>
      <c r="BC197" s="2597"/>
      <c r="BD197" s="2597"/>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615" t="s">
        <v>2315</v>
      </c>
      <c r="D199" s="2616"/>
      <c r="E199" s="2616"/>
      <c r="F199" s="2616"/>
      <c r="G199" s="2616"/>
      <c r="H199" s="2616"/>
      <c r="I199" s="2616"/>
      <c r="J199" s="2616"/>
      <c r="K199" s="2616"/>
      <c r="L199" s="2616"/>
      <c r="M199" s="2616"/>
      <c r="N199" s="2616"/>
      <c r="O199" s="2616"/>
      <c r="P199" s="2616"/>
      <c r="Q199" s="2616"/>
      <c r="R199" s="2616"/>
      <c r="S199" s="2616"/>
      <c r="T199" s="2616"/>
      <c r="U199" s="2616"/>
      <c r="V199" s="2616"/>
      <c r="W199" s="2616"/>
      <c r="X199" s="2616"/>
      <c r="Y199" s="2616"/>
      <c r="Z199" s="2616"/>
      <c r="AA199" s="2616"/>
      <c r="AB199" s="2616"/>
      <c r="AC199" s="2616"/>
      <c r="AD199" s="2616"/>
      <c r="AE199" s="2617"/>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618" t="s">
        <v>2314</v>
      </c>
      <c r="D200" s="2618"/>
      <c r="E200" s="2618"/>
      <c r="F200" s="2618"/>
      <c r="G200" s="2618"/>
      <c r="H200" s="2618"/>
      <c r="I200" s="2618"/>
      <c r="J200" s="2618"/>
      <c r="K200" s="2618"/>
      <c r="L200" s="2618"/>
      <c r="M200" s="2618"/>
      <c r="N200" s="2618"/>
      <c r="O200" s="2619" t="s">
        <v>2313</v>
      </c>
      <c r="P200" s="2619"/>
      <c r="Q200" s="2619"/>
      <c r="R200" s="2619"/>
      <c r="S200" s="2619"/>
      <c r="T200" s="2619"/>
      <c r="U200" s="2619"/>
      <c r="V200" s="2619"/>
      <c r="W200" s="2619"/>
      <c r="X200" s="2619" t="s">
        <v>2312</v>
      </c>
      <c r="Y200" s="2619"/>
      <c r="Z200" s="2619"/>
      <c r="AA200" s="2619"/>
      <c r="AB200" s="2619"/>
      <c r="AC200" s="2619"/>
      <c r="AD200" s="2619"/>
      <c r="AE200" s="2619"/>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610" t="s">
        <v>2311</v>
      </c>
      <c r="D201" s="2610"/>
      <c r="E201" s="2610"/>
      <c r="F201" s="2610"/>
      <c r="G201" s="2610"/>
      <c r="H201" s="2610"/>
      <c r="I201" s="2610"/>
      <c r="J201" s="2610"/>
      <c r="K201" s="2610"/>
      <c r="L201" s="2610"/>
      <c r="M201" s="2610"/>
      <c r="N201" s="2610"/>
      <c r="O201" s="2611" t="s">
        <v>2310</v>
      </c>
      <c r="P201" s="2611"/>
      <c r="Q201" s="2611"/>
      <c r="R201" s="2611"/>
      <c r="S201" s="2611"/>
      <c r="T201" s="2611"/>
      <c r="U201" s="2611"/>
      <c r="V201" s="2611"/>
      <c r="W201" s="2611"/>
      <c r="X201" s="2612">
        <v>0.03</v>
      </c>
      <c r="Y201" s="2612"/>
      <c r="Z201" s="2612"/>
      <c r="AA201" s="2612"/>
      <c r="AB201" s="2612"/>
      <c r="AC201" s="2612"/>
      <c r="AD201" s="2612"/>
      <c r="AE201" s="2612"/>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610" t="s">
        <v>854</v>
      </c>
      <c r="D202" s="2610"/>
      <c r="E202" s="2610"/>
      <c r="F202" s="2610"/>
      <c r="G202" s="2610"/>
      <c r="H202" s="2610"/>
      <c r="I202" s="2610"/>
      <c r="J202" s="2610"/>
      <c r="K202" s="2610"/>
      <c r="L202" s="2610"/>
      <c r="M202" s="2610"/>
      <c r="N202" s="2610"/>
      <c r="O202" s="2611" t="s">
        <v>2310</v>
      </c>
      <c r="P202" s="2611"/>
      <c r="Q202" s="2611"/>
      <c r="R202" s="2611"/>
      <c r="S202" s="2611"/>
      <c r="T202" s="2611"/>
      <c r="U202" s="2611"/>
      <c r="V202" s="2611"/>
      <c r="W202" s="2611"/>
      <c r="X202" s="2612">
        <v>0.03</v>
      </c>
      <c r="Y202" s="2612"/>
      <c r="Z202" s="2612"/>
      <c r="AA202" s="2612"/>
      <c r="AB202" s="2612"/>
      <c r="AC202" s="2612"/>
      <c r="AD202" s="2612"/>
      <c r="AE202" s="2612"/>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610" t="s">
        <v>2309</v>
      </c>
      <c r="D203" s="2610"/>
      <c r="E203" s="2610"/>
      <c r="F203" s="2610"/>
      <c r="G203" s="2610"/>
      <c r="H203" s="2610"/>
      <c r="I203" s="2610"/>
      <c r="J203" s="2610"/>
      <c r="K203" s="2610"/>
      <c r="L203" s="2610"/>
      <c r="M203" s="2610"/>
      <c r="N203" s="2610"/>
      <c r="O203" s="2613">
        <f>SUM(O201:W202)</f>
        <v>0</v>
      </c>
      <c r="P203" s="2614"/>
      <c r="Q203" s="2614"/>
      <c r="R203" s="2614"/>
      <c r="S203" s="2614"/>
      <c r="T203" s="2614"/>
      <c r="U203" s="2614"/>
      <c r="V203" s="2614"/>
      <c r="W203" s="2614"/>
      <c r="X203" s="2614" t="s">
        <v>2308</v>
      </c>
      <c r="Y203" s="2614"/>
      <c r="Z203" s="2614"/>
      <c r="AA203" s="2614"/>
      <c r="AB203" s="2614"/>
      <c r="AC203" s="2614"/>
      <c r="AD203" s="2614"/>
      <c r="AE203" s="2614"/>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620" t="s">
        <v>2307</v>
      </c>
      <c r="D204" s="2620"/>
      <c r="E204" s="2620"/>
      <c r="F204" s="2620"/>
      <c r="G204" s="2620"/>
      <c r="H204" s="2620"/>
      <c r="I204" s="2620"/>
      <c r="J204" s="2620"/>
      <c r="K204" s="2620"/>
      <c r="L204" s="2620"/>
      <c r="M204" s="2620"/>
      <c r="N204" s="2620"/>
      <c r="O204" s="2620"/>
      <c r="P204" s="2620"/>
      <c r="Q204" s="2620"/>
      <c r="R204" s="2620"/>
      <c r="S204" s="2620"/>
      <c r="T204" s="2620"/>
      <c r="U204" s="2620"/>
      <c r="V204" s="2620"/>
      <c r="W204" s="2620"/>
      <c r="X204" s="2620"/>
      <c r="Y204" s="2620"/>
      <c r="Z204" s="2620"/>
      <c r="AA204" s="2620"/>
      <c r="AB204" s="2620"/>
      <c r="AC204" s="2620"/>
      <c r="AD204" s="2620"/>
      <c r="AE204" s="2620"/>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621" t="s">
        <v>2306</v>
      </c>
      <c r="D206" s="2622"/>
      <c r="E206" s="2622"/>
      <c r="F206" s="2622"/>
      <c r="G206" s="2622"/>
      <c r="H206" s="2622"/>
      <c r="I206" s="2622"/>
      <c r="J206" s="2622"/>
      <c r="K206" s="2622"/>
      <c r="L206" s="2622"/>
      <c r="M206" s="2622"/>
      <c r="N206" s="2622"/>
      <c r="O206" s="2622"/>
      <c r="P206" s="2622"/>
      <c r="Q206" s="2622"/>
      <c r="R206" s="2622"/>
      <c r="S206" s="2622"/>
      <c r="T206" s="2622"/>
      <c r="U206" s="2622"/>
      <c r="V206" s="2622"/>
      <c r="W206" s="2622"/>
      <c r="X206" s="2622"/>
      <c r="Y206" s="2622"/>
      <c r="Z206" s="2622"/>
      <c r="AA206" s="2622"/>
      <c r="AB206" s="2622"/>
      <c r="AC206" s="2622"/>
      <c r="AD206" s="2622"/>
      <c r="AE206" s="2622"/>
      <c r="AF206" s="2622"/>
      <c r="AG206" s="2622"/>
      <c r="AH206" s="2622"/>
      <c r="AI206" s="2622"/>
      <c r="AJ206" s="2622"/>
      <c r="AK206" s="2623"/>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624" t="s">
        <v>2305</v>
      </c>
      <c r="D207" s="2625"/>
      <c r="E207" s="2625"/>
      <c r="F207" s="2626"/>
      <c r="G207" s="2630" t="s">
        <v>2304</v>
      </c>
      <c r="H207" s="2625"/>
      <c r="I207" s="2625"/>
      <c r="J207" s="2625"/>
      <c r="K207" s="2625"/>
      <c r="L207" s="2625"/>
      <c r="M207" s="2625"/>
      <c r="N207" s="2625"/>
      <c r="O207" s="2626"/>
      <c r="P207" s="2632" t="s">
        <v>2303</v>
      </c>
      <c r="Q207" s="2633"/>
      <c r="R207" s="2633"/>
      <c r="S207" s="2633"/>
      <c r="T207" s="2634"/>
      <c r="U207" s="2638" t="s">
        <v>2302</v>
      </c>
      <c r="V207" s="2639"/>
      <c r="W207" s="2639"/>
      <c r="X207" s="2640"/>
      <c r="Y207" s="2638" t="s">
        <v>2301</v>
      </c>
      <c r="Z207" s="2639"/>
      <c r="AA207" s="2639"/>
      <c r="AB207" s="2640"/>
      <c r="AC207" s="2638" t="s">
        <v>2300</v>
      </c>
      <c r="AD207" s="2639"/>
      <c r="AE207" s="2639"/>
      <c r="AF207" s="2640"/>
      <c r="AG207" s="2630" t="s">
        <v>2299</v>
      </c>
      <c r="AH207" s="2625"/>
      <c r="AI207" s="2625"/>
      <c r="AJ207" s="2625"/>
      <c r="AK207" s="2644"/>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627"/>
      <c r="D208" s="2628"/>
      <c r="E208" s="2628"/>
      <c r="F208" s="2629"/>
      <c r="G208" s="2631"/>
      <c r="H208" s="2628"/>
      <c r="I208" s="2628"/>
      <c r="J208" s="2628"/>
      <c r="K208" s="2628"/>
      <c r="L208" s="2628"/>
      <c r="M208" s="2628"/>
      <c r="N208" s="2628"/>
      <c r="O208" s="2629"/>
      <c r="P208" s="2635"/>
      <c r="Q208" s="2636"/>
      <c r="R208" s="2636"/>
      <c r="S208" s="2636"/>
      <c r="T208" s="2637"/>
      <c r="U208" s="2641"/>
      <c r="V208" s="2642"/>
      <c r="W208" s="2642"/>
      <c r="X208" s="2643"/>
      <c r="Y208" s="2641"/>
      <c r="Z208" s="2642"/>
      <c r="AA208" s="2642"/>
      <c r="AB208" s="2643"/>
      <c r="AC208" s="2641"/>
      <c r="AD208" s="2642"/>
      <c r="AE208" s="2642"/>
      <c r="AF208" s="2643"/>
      <c r="AG208" s="2631"/>
      <c r="AH208" s="2628"/>
      <c r="AI208" s="2628"/>
      <c r="AJ208" s="2628"/>
      <c r="AK208" s="2645"/>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649">
        <v>1</v>
      </c>
      <c r="D209" s="2650"/>
      <c r="E209" s="2650"/>
      <c r="F209" s="2650"/>
      <c r="G209" s="2651" t="s">
        <v>1885</v>
      </c>
      <c r="H209" s="2651"/>
      <c r="I209" s="2651"/>
      <c r="J209" s="2651"/>
      <c r="K209" s="2651"/>
      <c r="L209" s="2651"/>
      <c r="M209" s="2651"/>
      <c r="N209" s="2651"/>
      <c r="O209" s="2651"/>
      <c r="P209" s="2652"/>
      <c r="Q209" s="2655"/>
      <c r="R209" s="2655"/>
      <c r="S209" s="2655"/>
      <c r="T209" s="2655"/>
      <c r="U209" s="2653" t="s">
        <v>1885</v>
      </c>
      <c r="V209" s="2653"/>
      <c r="W209" s="2653"/>
      <c r="X209" s="2653"/>
      <c r="Y209" s="2653" t="s">
        <v>1885</v>
      </c>
      <c r="Z209" s="2653"/>
      <c r="AA209" s="2653"/>
      <c r="AB209" s="2653"/>
      <c r="AC209" s="2654" t="s">
        <v>1885</v>
      </c>
      <c r="AD209" s="2654"/>
      <c r="AE209" s="2654"/>
      <c r="AF209" s="2654"/>
      <c r="AG209" s="2646"/>
      <c r="AH209" s="2647"/>
      <c r="AI209" s="2647"/>
      <c r="AJ209" s="2647"/>
      <c r="AK209" s="2648"/>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649">
        <v>2</v>
      </c>
      <c r="D210" s="2650"/>
      <c r="E210" s="2650"/>
      <c r="F210" s="2650"/>
      <c r="G210" s="2651" t="s">
        <v>1885</v>
      </c>
      <c r="H210" s="2651"/>
      <c r="I210" s="2651"/>
      <c r="J210" s="2651"/>
      <c r="K210" s="2651"/>
      <c r="L210" s="2651"/>
      <c r="M210" s="2651"/>
      <c r="N210" s="2651"/>
      <c r="O210" s="2651"/>
      <c r="P210" s="2652"/>
      <c r="Q210" s="2652"/>
      <c r="R210" s="2652"/>
      <c r="S210" s="2652"/>
      <c r="T210" s="2652"/>
      <c r="U210" s="2653" t="s">
        <v>1885</v>
      </c>
      <c r="V210" s="2653"/>
      <c r="W210" s="2653"/>
      <c r="X210" s="2653"/>
      <c r="Y210" s="2653" t="s">
        <v>1885</v>
      </c>
      <c r="Z210" s="2653"/>
      <c r="AA210" s="2653"/>
      <c r="AB210" s="2653"/>
      <c r="AC210" s="2654" t="s">
        <v>1885</v>
      </c>
      <c r="AD210" s="2654"/>
      <c r="AE210" s="2654"/>
      <c r="AF210" s="2654"/>
      <c r="AG210" s="2646"/>
      <c r="AH210" s="2647"/>
      <c r="AI210" s="2647"/>
      <c r="AJ210" s="2647"/>
      <c r="AK210" s="2648"/>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649">
        <v>3</v>
      </c>
      <c r="D211" s="2650"/>
      <c r="E211" s="2650"/>
      <c r="F211" s="2650"/>
      <c r="G211" s="2651" t="s">
        <v>1885</v>
      </c>
      <c r="H211" s="2651"/>
      <c r="I211" s="2651"/>
      <c r="J211" s="2651"/>
      <c r="K211" s="2651"/>
      <c r="L211" s="2651"/>
      <c r="M211" s="2651"/>
      <c r="N211" s="2651"/>
      <c r="O211" s="2651"/>
      <c r="P211" s="2652"/>
      <c r="Q211" s="2652"/>
      <c r="R211" s="2652"/>
      <c r="S211" s="2652"/>
      <c r="T211" s="2652"/>
      <c r="U211" s="2653" t="s">
        <v>1885</v>
      </c>
      <c r="V211" s="2653"/>
      <c r="W211" s="2653"/>
      <c r="X211" s="2653"/>
      <c r="Y211" s="2653" t="s">
        <v>1885</v>
      </c>
      <c r="Z211" s="2653"/>
      <c r="AA211" s="2653"/>
      <c r="AB211" s="2653"/>
      <c r="AC211" s="2654" t="s">
        <v>1885</v>
      </c>
      <c r="AD211" s="2654"/>
      <c r="AE211" s="2654"/>
      <c r="AF211" s="2654"/>
      <c r="AG211" s="2646"/>
      <c r="AH211" s="2647"/>
      <c r="AI211" s="2647"/>
      <c r="AJ211" s="2647"/>
      <c r="AK211" s="2648"/>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649">
        <v>4</v>
      </c>
      <c r="D212" s="2650"/>
      <c r="E212" s="2650"/>
      <c r="F212" s="2650"/>
      <c r="G212" s="2651" t="s">
        <v>1885</v>
      </c>
      <c r="H212" s="2651"/>
      <c r="I212" s="2651"/>
      <c r="J212" s="2651"/>
      <c r="K212" s="2651"/>
      <c r="L212" s="2651"/>
      <c r="M212" s="2651"/>
      <c r="N212" s="2651"/>
      <c r="O212" s="2651"/>
      <c r="P212" s="2652"/>
      <c r="Q212" s="2652"/>
      <c r="R212" s="2652"/>
      <c r="S212" s="2652"/>
      <c r="T212" s="2652"/>
      <c r="U212" s="2653" t="s">
        <v>1885</v>
      </c>
      <c r="V212" s="2653"/>
      <c r="W212" s="2653"/>
      <c r="X212" s="2653"/>
      <c r="Y212" s="2653" t="s">
        <v>1885</v>
      </c>
      <c r="Z212" s="2653"/>
      <c r="AA212" s="2653"/>
      <c r="AB212" s="2653"/>
      <c r="AC212" s="2654" t="s">
        <v>1885</v>
      </c>
      <c r="AD212" s="2654"/>
      <c r="AE212" s="2654"/>
      <c r="AF212" s="2654"/>
      <c r="AG212" s="2646"/>
      <c r="AH212" s="2647"/>
      <c r="AI212" s="2647"/>
      <c r="AJ212" s="2647"/>
      <c r="AK212" s="2648"/>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649">
        <v>5</v>
      </c>
      <c r="D213" s="2650"/>
      <c r="E213" s="2650"/>
      <c r="F213" s="2650"/>
      <c r="G213" s="2651" t="s">
        <v>1885</v>
      </c>
      <c r="H213" s="2651"/>
      <c r="I213" s="2651"/>
      <c r="J213" s="2651"/>
      <c r="K213" s="2651"/>
      <c r="L213" s="2651"/>
      <c r="M213" s="2651"/>
      <c r="N213" s="2651"/>
      <c r="O213" s="2651"/>
      <c r="P213" s="2652"/>
      <c r="Q213" s="2652"/>
      <c r="R213" s="2652"/>
      <c r="S213" s="2652"/>
      <c r="T213" s="2652"/>
      <c r="U213" s="2653" t="s">
        <v>1885</v>
      </c>
      <c r="V213" s="2653"/>
      <c r="W213" s="2653"/>
      <c r="X213" s="2653"/>
      <c r="Y213" s="2653" t="s">
        <v>1885</v>
      </c>
      <c r="Z213" s="2653"/>
      <c r="AA213" s="2653"/>
      <c r="AB213" s="2653"/>
      <c r="AC213" s="2654" t="s">
        <v>1885</v>
      </c>
      <c r="AD213" s="2654"/>
      <c r="AE213" s="2654"/>
      <c r="AF213" s="2654"/>
      <c r="AG213" s="2646"/>
      <c r="AH213" s="2647"/>
      <c r="AI213" s="2647"/>
      <c r="AJ213" s="2647"/>
      <c r="AK213" s="2648"/>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649">
        <v>6</v>
      </c>
      <c r="D214" s="2650"/>
      <c r="E214" s="2650"/>
      <c r="F214" s="2650"/>
      <c r="G214" s="2651" t="s">
        <v>1885</v>
      </c>
      <c r="H214" s="2651"/>
      <c r="I214" s="2651"/>
      <c r="J214" s="2651"/>
      <c r="K214" s="2651"/>
      <c r="L214" s="2651"/>
      <c r="M214" s="2651"/>
      <c r="N214" s="2651"/>
      <c r="O214" s="2651"/>
      <c r="P214" s="2652"/>
      <c r="Q214" s="2652"/>
      <c r="R214" s="2652"/>
      <c r="S214" s="2652"/>
      <c r="T214" s="2652"/>
      <c r="U214" s="2653"/>
      <c r="V214" s="2653"/>
      <c r="W214" s="2653"/>
      <c r="X214" s="2653"/>
      <c r="Y214" s="2653"/>
      <c r="Z214" s="2653"/>
      <c r="AA214" s="2653"/>
      <c r="AB214" s="2653"/>
      <c r="AC214" s="2654" t="s">
        <v>1885</v>
      </c>
      <c r="AD214" s="2654"/>
      <c r="AE214" s="2654"/>
      <c r="AF214" s="2654"/>
      <c r="AG214" s="2646"/>
      <c r="AH214" s="2647"/>
      <c r="AI214" s="2647"/>
      <c r="AJ214" s="2647"/>
      <c r="AK214" s="2648"/>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649">
        <v>7</v>
      </c>
      <c r="D215" s="2650"/>
      <c r="E215" s="2650"/>
      <c r="F215" s="2650"/>
      <c r="G215" s="2651"/>
      <c r="H215" s="2651"/>
      <c r="I215" s="2651"/>
      <c r="J215" s="2651"/>
      <c r="K215" s="2651"/>
      <c r="L215" s="2651"/>
      <c r="M215" s="2651"/>
      <c r="N215" s="2651"/>
      <c r="O215" s="2651"/>
      <c r="P215" s="2652"/>
      <c r="Q215" s="2652"/>
      <c r="R215" s="2652"/>
      <c r="S215" s="2652"/>
      <c r="T215" s="2652"/>
      <c r="U215" s="2653"/>
      <c r="V215" s="2653"/>
      <c r="W215" s="2653"/>
      <c r="X215" s="2653"/>
      <c r="Y215" s="2653"/>
      <c r="Z215" s="2653"/>
      <c r="AA215" s="2653"/>
      <c r="AB215" s="2653"/>
      <c r="AC215" s="2654" t="s">
        <v>1885</v>
      </c>
      <c r="AD215" s="2654"/>
      <c r="AE215" s="2654"/>
      <c r="AF215" s="2654"/>
      <c r="AG215" s="2646"/>
      <c r="AH215" s="2647"/>
      <c r="AI215" s="2647"/>
      <c r="AJ215" s="2647"/>
      <c r="AK215" s="2648"/>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668" t="s">
        <v>2298</v>
      </c>
      <c r="D216" s="2669"/>
      <c r="E216" s="2669"/>
      <c r="F216" s="2669"/>
      <c r="G216" s="2669"/>
      <c r="H216" s="2669"/>
      <c r="I216" s="2669"/>
      <c r="J216" s="2669"/>
      <c r="K216" s="2669"/>
      <c r="L216" s="2669"/>
      <c r="M216" s="2669"/>
      <c r="N216" s="2669"/>
      <c r="O216" s="2669"/>
      <c r="P216" s="2670"/>
      <c r="Q216" s="2670"/>
      <c r="R216" s="2670"/>
      <c r="S216" s="2670"/>
      <c r="T216" s="2670"/>
      <c r="U216" s="2671">
        <v>0</v>
      </c>
      <c r="V216" s="2671"/>
      <c r="W216" s="2671"/>
      <c r="X216" s="2671"/>
      <c r="Y216" s="2671">
        <v>0</v>
      </c>
      <c r="Z216" s="2671"/>
      <c r="AA216" s="2671"/>
      <c r="AB216" s="2671"/>
      <c r="AC216" s="2672">
        <v>0</v>
      </c>
      <c r="AD216" s="2672"/>
      <c r="AE216" s="2672"/>
      <c r="AF216" s="2672"/>
      <c r="AG216" s="2673"/>
      <c r="AH216" s="2674"/>
      <c r="AI216" s="2674"/>
      <c r="AJ216" s="2674"/>
      <c r="AK216" s="2675"/>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656" t="s">
        <v>2296</v>
      </c>
      <c r="C221" s="2657"/>
      <c r="D221" s="2657"/>
      <c r="E221" s="2657"/>
      <c r="F221" s="2657"/>
      <c r="G221" s="2657"/>
      <c r="H221" s="2657"/>
      <c r="I221" s="2657"/>
      <c r="J221" s="2657"/>
      <c r="K221" s="2657"/>
      <c r="L221" s="2657"/>
      <c r="M221" s="2657"/>
      <c r="N221" s="2657"/>
      <c r="O221" s="2657"/>
      <c r="P221" s="2657"/>
      <c r="Q221" s="2657"/>
      <c r="R221" s="2657"/>
      <c r="S221" s="2657"/>
      <c r="T221" s="2657"/>
      <c r="U221" s="2657"/>
      <c r="V221" s="2657"/>
      <c r="W221" s="2657"/>
      <c r="X221" s="2657"/>
      <c r="Y221" s="2657"/>
      <c r="Z221" s="2657"/>
      <c r="AA221" s="2657"/>
      <c r="AB221" s="2657"/>
      <c r="AC221" s="2657"/>
      <c r="AD221" s="2657"/>
      <c r="AE221" s="2657"/>
      <c r="AF221" s="2657"/>
      <c r="AG221" s="2657"/>
      <c r="AH221" s="2657"/>
      <c r="AI221" s="2657"/>
      <c r="AJ221" s="2657"/>
      <c r="AK221" s="2657"/>
      <c r="AL221" s="2657"/>
      <c r="AM221" s="2657"/>
      <c r="AN221" s="2657"/>
      <c r="AO221" s="2657"/>
      <c r="AP221" s="2657"/>
      <c r="AQ221" s="2657"/>
      <c r="AR221" s="2657"/>
      <c r="AS221" s="2657"/>
      <c r="AT221" s="2657"/>
      <c r="AU221" s="2657"/>
      <c r="AV221" s="2657"/>
      <c r="AW221" s="2657"/>
      <c r="AX221" s="2657"/>
      <c r="AY221" s="2657"/>
      <c r="AZ221" s="2657"/>
      <c r="BA221" s="2657"/>
      <c r="BB221" s="2657"/>
      <c r="BC221" s="2657"/>
      <c r="BD221" s="2658"/>
      <c r="BE221" s="1196"/>
    </row>
    <row r="222" spans="1:57" ht="15.75" customHeight="1">
      <c r="A222" s="1192"/>
      <c r="B222" s="2659"/>
      <c r="C222" s="2660"/>
      <c r="D222" s="2660"/>
      <c r="E222" s="2660"/>
      <c r="F222" s="2660"/>
      <c r="G222" s="2660"/>
      <c r="H222" s="2660"/>
      <c r="I222" s="2660"/>
      <c r="J222" s="2660"/>
      <c r="K222" s="2660"/>
      <c r="L222" s="2660"/>
      <c r="M222" s="2660"/>
      <c r="N222" s="2660"/>
      <c r="O222" s="2660"/>
      <c r="P222" s="2660"/>
      <c r="Q222" s="2660"/>
      <c r="R222" s="2660"/>
      <c r="S222" s="2660"/>
      <c r="T222" s="2660"/>
      <c r="U222" s="2660"/>
      <c r="V222" s="2660"/>
      <c r="W222" s="2660"/>
      <c r="X222" s="2660"/>
      <c r="Y222" s="2660"/>
      <c r="Z222" s="2660"/>
      <c r="AA222" s="2660"/>
      <c r="AB222" s="2660"/>
      <c r="AC222" s="2660"/>
      <c r="AD222" s="2660"/>
      <c r="AE222" s="2660"/>
      <c r="AF222" s="2660"/>
      <c r="AG222" s="2660"/>
      <c r="AH222" s="2660"/>
      <c r="AI222" s="2660"/>
      <c r="AJ222" s="2660"/>
      <c r="AK222" s="2660"/>
      <c r="AL222" s="2660"/>
      <c r="AM222" s="2660"/>
      <c r="AN222" s="2660"/>
      <c r="AO222" s="2660"/>
      <c r="AP222" s="2660"/>
      <c r="AQ222" s="2660"/>
      <c r="AR222" s="2660"/>
      <c r="AS222" s="2660"/>
      <c r="AT222" s="2660"/>
      <c r="AU222" s="2660"/>
      <c r="AV222" s="2660"/>
      <c r="AW222" s="2660"/>
      <c r="AX222" s="2660"/>
      <c r="AY222" s="2660"/>
      <c r="AZ222" s="2660"/>
      <c r="BA222" s="2660"/>
      <c r="BB222" s="2660"/>
      <c r="BC222" s="2660"/>
      <c r="BD222" s="2661"/>
      <c r="BE222" s="1196"/>
    </row>
    <row r="223" spans="1:57" ht="15.75" customHeight="1">
      <c r="A223" s="1192"/>
      <c r="B223" s="2662" t="s">
        <v>2295</v>
      </c>
      <c r="C223" s="2663"/>
      <c r="D223" s="2663"/>
      <c r="E223" s="2663"/>
      <c r="F223" s="2663"/>
      <c r="G223" s="2663"/>
      <c r="H223" s="2663"/>
      <c r="I223" s="2663"/>
      <c r="J223" s="2663"/>
      <c r="K223" s="2663"/>
      <c r="L223" s="2663"/>
      <c r="M223" s="2663"/>
      <c r="N223" s="2663"/>
      <c r="O223" s="2663"/>
      <c r="P223" s="2663"/>
      <c r="Q223" s="2663"/>
      <c r="R223" s="2663"/>
      <c r="S223" s="2663"/>
      <c r="T223" s="2663"/>
      <c r="U223" s="2663"/>
      <c r="V223" s="2663"/>
      <c r="W223" s="2663"/>
      <c r="X223" s="2663"/>
      <c r="Y223" s="2663"/>
      <c r="Z223" s="2663"/>
      <c r="AA223" s="2663"/>
      <c r="AB223" s="2663"/>
      <c r="AC223" s="2663"/>
      <c r="AD223" s="2663"/>
      <c r="AE223" s="2663"/>
      <c r="AF223" s="2663"/>
      <c r="AG223" s="2663"/>
      <c r="AH223" s="2663"/>
      <c r="AI223" s="2663"/>
      <c r="AJ223" s="2663"/>
      <c r="AK223" s="2663"/>
      <c r="AL223" s="2663"/>
      <c r="AM223" s="2663"/>
      <c r="AN223" s="2663"/>
      <c r="AO223" s="2663"/>
      <c r="AP223" s="2663"/>
      <c r="AQ223" s="2663"/>
      <c r="AR223" s="2663"/>
      <c r="AS223" s="2663"/>
      <c r="AT223" s="2663"/>
      <c r="AU223" s="2663"/>
      <c r="AV223" s="2663"/>
      <c r="AW223" s="2663"/>
      <c r="AX223" s="2663"/>
      <c r="AY223" s="2663"/>
      <c r="AZ223" s="2663"/>
      <c r="BA223" s="2663"/>
      <c r="BB223" s="2663"/>
      <c r="BC223" s="2663"/>
      <c r="BD223" s="2664"/>
      <c r="BE223" s="1196"/>
    </row>
    <row r="224" spans="1:57" ht="15.75" customHeight="1">
      <c r="A224" s="1192"/>
      <c r="B224" s="2662" t="s">
        <v>2294</v>
      </c>
      <c r="C224" s="2663"/>
      <c r="D224" s="2663"/>
      <c r="E224" s="2663"/>
      <c r="F224" s="2663"/>
      <c r="G224" s="2663"/>
      <c r="H224" s="2663"/>
      <c r="I224" s="2663"/>
      <c r="J224" s="2663"/>
      <c r="K224" s="2663"/>
      <c r="L224" s="2663"/>
      <c r="M224" s="2663"/>
      <c r="N224" s="2663"/>
      <c r="O224" s="2663"/>
      <c r="P224" s="2663"/>
      <c r="Q224" s="2663"/>
      <c r="R224" s="2663"/>
      <c r="S224" s="2663"/>
      <c r="T224" s="2663"/>
      <c r="U224" s="2663"/>
      <c r="V224" s="2663"/>
      <c r="W224" s="2663"/>
      <c r="X224" s="2663"/>
      <c r="Y224" s="2663"/>
      <c r="Z224" s="2663"/>
      <c r="AA224" s="2663"/>
      <c r="AB224" s="2663"/>
      <c r="AC224" s="2663"/>
      <c r="AD224" s="2663"/>
      <c r="AE224" s="2663"/>
      <c r="AF224" s="2663"/>
      <c r="AG224" s="2663"/>
      <c r="AH224" s="2663"/>
      <c r="AI224" s="2663"/>
      <c r="AJ224" s="2663"/>
      <c r="AK224" s="2663"/>
      <c r="AL224" s="2663"/>
      <c r="AM224" s="2663"/>
      <c r="AN224" s="2663"/>
      <c r="AO224" s="2663"/>
      <c r="AP224" s="2663"/>
      <c r="AQ224" s="2663"/>
      <c r="AR224" s="2663"/>
      <c r="AS224" s="2663"/>
      <c r="AT224" s="2663"/>
      <c r="AU224" s="2663"/>
      <c r="AV224" s="2663"/>
      <c r="AW224" s="2663"/>
      <c r="AX224" s="2663"/>
      <c r="AY224" s="2663"/>
      <c r="AZ224" s="2663"/>
      <c r="BA224" s="2663"/>
      <c r="BB224" s="2663"/>
      <c r="BC224" s="2663"/>
      <c r="BD224" s="2664"/>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665" t="s">
        <v>2293</v>
      </c>
      <c r="C226" s="2555"/>
      <c r="D226" s="2555"/>
      <c r="E226" s="2555"/>
      <c r="F226" s="2555"/>
      <c r="G226" s="2555"/>
      <c r="H226" s="2555"/>
      <c r="I226" s="2555"/>
      <c r="J226" s="2555"/>
      <c r="K226" s="2555"/>
      <c r="L226" s="2555"/>
      <c r="M226" s="2555"/>
      <c r="N226" s="2555"/>
      <c r="O226" s="2555"/>
      <c r="P226" s="2555"/>
      <c r="Q226" s="2555"/>
      <c r="R226" s="2555"/>
      <c r="S226" s="2555"/>
      <c r="T226" s="2555"/>
      <c r="U226" s="2555"/>
      <c r="V226" s="2555"/>
      <c r="W226" s="2555"/>
      <c r="X226" s="2555"/>
      <c r="Y226" s="2555"/>
      <c r="Z226" s="2555"/>
      <c r="AA226" s="2555"/>
      <c r="AB226" s="2555"/>
      <c r="AC226" s="2555"/>
      <c r="AD226" s="2555"/>
      <c r="AE226" s="2555"/>
      <c r="AF226" s="2555"/>
      <c r="AG226" s="2555"/>
      <c r="AH226" s="2555"/>
      <c r="AI226" s="2555"/>
      <c r="AJ226" s="2555"/>
      <c r="AK226" s="2555"/>
      <c r="AL226" s="2555"/>
      <c r="AM226" s="2555"/>
      <c r="AN226" s="2555"/>
      <c r="AO226" s="2555"/>
      <c r="AP226" s="2555"/>
      <c r="AQ226" s="2555"/>
      <c r="AR226" s="2555"/>
      <c r="AS226" s="2555"/>
      <c r="AT226" s="2555"/>
      <c r="AU226" s="2555"/>
      <c r="AV226" s="2555"/>
      <c r="AW226" s="2555"/>
      <c r="AX226" s="2555"/>
      <c r="AY226" s="2555"/>
      <c r="AZ226" s="2555"/>
      <c r="BA226" s="2555"/>
      <c r="BB226" s="2555"/>
      <c r="BC226" s="2555"/>
      <c r="BD226" s="2666"/>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667" t="s">
        <v>2291</v>
      </c>
      <c r="I230" s="2667"/>
      <c r="J230" s="2667"/>
      <c r="K230" s="2667"/>
      <c r="L230" s="2667"/>
      <c r="M230" s="2667"/>
      <c r="N230" s="2667"/>
      <c r="O230" s="2667"/>
      <c r="P230" s="2667"/>
      <c r="Q230" s="2667"/>
      <c r="R230" s="2667"/>
      <c r="S230" s="2667"/>
      <c r="T230" s="2667"/>
      <c r="U230" s="2667"/>
      <c r="V230" s="2667"/>
      <c r="W230" s="2667"/>
      <c r="X230" s="2667"/>
      <c r="Y230" s="2667"/>
      <c r="Z230" s="2667"/>
      <c r="AA230" s="2667"/>
      <c r="AB230" s="2667"/>
      <c r="AC230" s="2667"/>
      <c r="AD230" s="2667"/>
      <c r="AE230" s="2667"/>
      <c r="AF230" s="2667"/>
      <c r="AG230" s="2667"/>
      <c r="AH230" s="2667"/>
      <c r="AI230" s="2667"/>
      <c r="AJ230" s="2667"/>
      <c r="AK230" s="2667"/>
      <c r="AL230" s="2667"/>
      <c r="AM230" s="2667"/>
      <c r="AN230" s="2667"/>
      <c r="AO230" s="2667"/>
      <c r="AP230" s="2667"/>
      <c r="AQ230" s="2667"/>
      <c r="AR230" s="2667"/>
      <c r="AS230" s="2667"/>
      <c r="AT230" s="2667"/>
      <c r="AU230" s="2667"/>
      <c r="AV230" s="2667"/>
      <c r="AW230" s="2667"/>
      <c r="AX230" s="2667"/>
      <c r="AY230" s="2667"/>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685" t="s">
        <v>2290</v>
      </c>
      <c r="I232" s="2685"/>
      <c r="J232" s="2685"/>
      <c r="K232" s="2685"/>
      <c r="L232" s="2685"/>
      <c r="M232" s="2685"/>
      <c r="N232" s="2685"/>
      <c r="O232" s="2685"/>
      <c r="P232" s="2685"/>
      <c r="Q232" s="2685"/>
      <c r="R232" s="2685"/>
      <c r="S232" s="2685"/>
      <c r="T232" s="2685"/>
      <c r="U232" s="2685"/>
      <c r="V232" s="2685"/>
      <c r="W232" s="2685"/>
      <c r="X232" s="2685"/>
      <c r="Y232" s="2685"/>
      <c r="Z232" s="2685"/>
      <c r="AA232" s="2685"/>
      <c r="AB232" s="2685"/>
      <c r="AC232" s="2685"/>
      <c r="AD232" s="2685"/>
      <c r="AE232" s="2685"/>
      <c r="AF232" s="2685"/>
      <c r="AG232" s="2685"/>
      <c r="AH232" s="2685"/>
      <c r="AI232" s="2685"/>
      <c r="AJ232" s="2685"/>
      <c r="AK232" s="2685"/>
      <c r="AL232" s="2685"/>
      <c r="AM232" s="2685"/>
      <c r="AN232" s="2685"/>
      <c r="AO232" s="2685"/>
      <c r="AP232" s="2685"/>
      <c r="AQ232" s="2685"/>
      <c r="AR232" s="2685"/>
      <c r="AS232" s="2685"/>
      <c r="AT232" s="2685"/>
      <c r="AU232" s="2685"/>
      <c r="AV232" s="2685"/>
      <c r="AW232" s="2685"/>
      <c r="AX232" s="2685"/>
      <c r="AY232" s="2685"/>
      <c r="AZ232" s="2685"/>
      <c r="BA232" s="1192"/>
      <c r="BB232" s="1192"/>
      <c r="BC232" s="1192"/>
      <c r="BD232" s="1196"/>
      <c r="BE232" s="1196"/>
    </row>
    <row r="233" spans="1:57" ht="15.75" customHeight="1">
      <c r="A233" s="1192"/>
      <c r="B233" s="1191"/>
      <c r="C233" s="1192"/>
      <c r="D233" s="1192"/>
      <c r="E233" s="1192"/>
      <c r="F233" s="1192"/>
      <c r="G233" s="1192"/>
      <c r="H233" s="2685"/>
      <c r="I233" s="2685"/>
      <c r="J233" s="2685"/>
      <c r="K233" s="2685"/>
      <c r="L233" s="2685"/>
      <c r="M233" s="2685"/>
      <c r="N233" s="2685"/>
      <c r="O233" s="2685"/>
      <c r="P233" s="2685"/>
      <c r="Q233" s="2685"/>
      <c r="R233" s="2685"/>
      <c r="S233" s="2685"/>
      <c r="T233" s="2685"/>
      <c r="U233" s="2685"/>
      <c r="V233" s="2685"/>
      <c r="W233" s="2685"/>
      <c r="X233" s="2685"/>
      <c r="Y233" s="2685"/>
      <c r="Z233" s="2685"/>
      <c r="AA233" s="2685"/>
      <c r="AB233" s="2685"/>
      <c r="AC233" s="2685"/>
      <c r="AD233" s="2685"/>
      <c r="AE233" s="2685"/>
      <c r="AF233" s="2685"/>
      <c r="AG233" s="2685"/>
      <c r="AH233" s="2685"/>
      <c r="AI233" s="2685"/>
      <c r="AJ233" s="2685"/>
      <c r="AK233" s="2685"/>
      <c r="AL233" s="2685"/>
      <c r="AM233" s="2685"/>
      <c r="AN233" s="2685"/>
      <c r="AO233" s="2685"/>
      <c r="AP233" s="2685"/>
      <c r="AQ233" s="2685"/>
      <c r="AR233" s="2685"/>
      <c r="AS233" s="2685"/>
      <c r="AT233" s="2685"/>
      <c r="AU233" s="2685"/>
      <c r="AV233" s="2685"/>
      <c r="AW233" s="2685"/>
      <c r="AX233" s="2685"/>
      <c r="AY233" s="2685"/>
      <c r="AZ233" s="2685"/>
      <c r="BA233" s="1192"/>
      <c r="BB233" s="1192"/>
      <c r="BC233" s="1192"/>
      <c r="BD233" s="1196"/>
      <c r="BE233" s="1196"/>
    </row>
    <row r="234" spans="1:57" ht="15.75" customHeight="1">
      <c r="A234" s="1192"/>
      <c r="B234" s="1191"/>
      <c r="C234" s="1192"/>
      <c r="D234" s="1192"/>
      <c r="E234" s="1192"/>
      <c r="F234" s="1192"/>
      <c r="G234" s="1192"/>
      <c r="H234" s="2685"/>
      <c r="I234" s="2685"/>
      <c r="J234" s="2685"/>
      <c r="K234" s="2685"/>
      <c r="L234" s="2685"/>
      <c r="M234" s="2685"/>
      <c r="N234" s="2685"/>
      <c r="O234" s="2685"/>
      <c r="P234" s="2685"/>
      <c r="Q234" s="2685"/>
      <c r="R234" s="2685"/>
      <c r="S234" s="2685"/>
      <c r="T234" s="2685"/>
      <c r="U234" s="2685"/>
      <c r="V234" s="2685"/>
      <c r="W234" s="2685"/>
      <c r="X234" s="2685"/>
      <c r="Y234" s="2685"/>
      <c r="Z234" s="2685"/>
      <c r="AA234" s="2685"/>
      <c r="AB234" s="2685"/>
      <c r="AC234" s="2685"/>
      <c r="AD234" s="2685"/>
      <c r="AE234" s="2685"/>
      <c r="AF234" s="2685"/>
      <c r="AG234" s="2685"/>
      <c r="AH234" s="2685"/>
      <c r="AI234" s="2685"/>
      <c r="AJ234" s="2685"/>
      <c r="AK234" s="2685"/>
      <c r="AL234" s="2685"/>
      <c r="AM234" s="2685"/>
      <c r="AN234" s="2685"/>
      <c r="AO234" s="2685"/>
      <c r="AP234" s="2685"/>
      <c r="AQ234" s="2685"/>
      <c r="AR234" s="2685"/>
      <c r="AS234" s="2685"/>
      <c r="AT234" s="2685"/>
      <c r="AU234" s="2685"/>
      <c r="AV234" s="2685"/>
      <c r="AW234" s="2685"/>
      <c r="AX234" s="2685"/>
      <c r="AY234" s="2685"/>
      <c r="AZ234" s="2685"/>
      <c r="BA234" s="1192"/>
      <c r="BB234" s="1192"/>
      <c r="BC234" s="1192"/>
      <c r="BD234" s="1196"/>
      <c r="BE234" s="1196"/>
    </row>
    <row r="235" spans="1:57" ht="15.75" customHeight="1">
      <c r="A235" s="1192"/>
      <c r="B235" s="1191"/>
      <c r="C235" s="1192"/>
      <c r="D235" s="1192"/>
      <c r="E235" s="1192"/>
      <c r="F235" s="1192"/>
      <c r="G235" s="1192"/>
      <c r="H235" s="2685"/>
      <c r="I235" s="2685"/>
      <c r="J235" s="2685"/>
      <c r="K235" s="2685"/>
      <c r="L235" s="2685"/>
      <c r="M235" s="2685"/>
      <c r="N235" s="2685"/>
      <c r="O235" s="2685"/>
      <c r="P235" s="2685"/>
      <c r="Q235" s="2685"/>
      <c r="R235" s="2685"/>
      <c r="S235" s="2685"/>
      <c r="T235" s="2685"/>
      <c r="U235" s="2685"/>
      <c r="V235" s="2685"/>
      <c r="W235" s="2685"/>
      <c r="X235" s="2685"/>
      <c r="Y235" s="2685"/>
      <c r="Z235" s="2685"/>
      <c r="AA235" s="2685"/>
      <c r="AB235" s="2685"/>
      <c r="AC235" s="2685"/>
      <c r="AD235" s="2685"/>
      <c r="AE235" s="2685"/>
      <c r="AF235" s="2685"/>
      <c r="AG235" s="2685"/>
      <c r="AH235" s="2685"/>
      <c r="AI235" s="2685"/>
      <c r="AJ235" s="2685"/>
      <c r="AK235" s="2685"/>
      <c r="AL235" s="2685"/>
      <c r="AM235" s="2685"/>
      <c r="AN235" s="2685"/>
      <c r="AO235" s="2685"/>
      <c r="AP235" s="2685"/>
      <c r="AQ235" s="2685"/>
      <c r="AR235" s="2685"/>
      <c r="AS235" s="2685"/>
      <c r="AT235" s="2685"/>
      <c r="AU235" s="2685"/>
      <c r="AV235" s="2685"/>
      <c r="AW235" s="2685"/>
      <c r="AX235" s="2685"/>
      <c r="AY235" s="2685"/>
      <c r="AZ235" s="2685"/>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686" t="s">
        <v>2289</v>
      </c>
      <c r="I237" s="2686"/>
      <c r="J237" s="2686"/>
      <c r="K237" s="2686"/>
      <c r="L237" s="2686"/>
      <c r="M237" s="2686"/>
      <c r="N237" s="2686"/>
      <c r="O237" s="2686"/>
      <c r="P237" s="2686"/>
      <c r="Q237" s="2686"/>
      <c r="R237" s="2686"/>
      <c r="S237" s="2686"/>
      <c r="T237" s="2686"/>
      <c r="U237" s="2686"/>
      <c r="V237" s="2686"/>
      <c r="W237" s="2686"/>
      <c r="X237" s="2686"/>
      <c r="Y237" s="2686"/>
      <c r="Z237" s="2686"/>
      <c r="AA237" s="2686"/>
      <c r="AB237" s="2686"/>
      <c r="AC237" s="2686"/>
      <c r="AD237" s="2686"/>
      <c r="AE237" s="2686"/>
      <c r="AF237" s="2686"/>
      <c r="AG237" s="2686"/>
      <c r="AH237" s="2686"/>
      <c r="AI237" s="2686"/>
      <c r="AJ237" s="2686"/>
      <c r="AK237" s="2686"/>
      <c r="AL237" s="2686"/>
      <c r="AM237" s="2686"/>
      <c r="AN237" s="2686"/>
      <c r="AO237" s="2686"/>
      <c r="AP237" s="2686"/>
      <c r="AQ237" s="2686"/>
      <c r="AR237" s="2686"/>
      <c r="AS237" s="2686"/>
      <c r="AT237" s="2686"/>
      <c r="AU237" s="2686"/>
      <c r="AV237" s="2686"/>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676" t="s">
        <v>2288</v>
      </c>
      <c r="I239" s="2676"/>
      <c r="J239" s="2676"/>
      <c r="K239" s="2676"/>
      <c r="L239" s="1243"/>
      <c r="M239" s="1243"/>
      <c r="N239" s="1243"/>
      <c r="O239" s="1243"/>
      <c r="P239" s="1243"/>
      <c r="Q239" s="1243"/>
      <c r="R239" s="1243"/>
      <c r="S239" s="2687"/>
      <c r="T239" s="2688"/>
      <c r="U239" s="2688"/>
      <c r="V239" s="2688"/>
      <c r="W239" s="2688"/>
      <c r="X239" s="2688"/>
      <c r="Y239" s="2688"/>
      <c r="Z239" s="2688"/>
      <c r="AA239" s="2688"/>
      <c r="AB239" s="2688"/>
      <c r="AC239" s="2688"/>
      <c r="AD239" s="2688"/>
      <c r="AE239" s="2688"/>
      <c r="AF239" s="2688"/>
      <c r="AG239" s="2688"/>
      <c r="AH239" s="2688"/>
      <c r="AI239" s="2688"/>
      <c r="AJ239" s="2689"/>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676" t="s">
        <v>2287</v>
      </c>
      <c r="I241" s="2676"/>
      <c r="J241" s="2676"/>
      <c r="K241" s="1245"/>
      <c r="L241" s="1243"/>
      <c r="M241" s="1243"/>
      <c r="N241" s="1243"/>
      <c r="O241" s="1243"/>
      <c r="P241" s="1243"/>
      <c r="Q241" s="1243"/>
      <c r="R241" s="1243"/>
      <c r="S241" s="2677"/>
      <c r="T241" s="2678"/>
      <c r="U241" s="2678"/>
      <c r="V241" s="2678"/>
      <c r="W241" s="2678"/>
      <c r="X241" s="2678"/>
      <c r="Y241" s="2678"/>
      <c r="Z241" s="2678"/>
      <c r="AA241" s="2678"/>
      <c r="AB241" s="2678"/>
      <c r="AC241" s="2678"/>
      <c r="AD241" s="2678"/>
      <c r="AE241" s="2678"/>
      <c r="AF241" s="2678"/>
      <c r="AG241" s="2678"/>
      <c r="AH241" s="2678"/>
      <c r="AI241" s="2678"/>
      <c r="AJ241" s="2679"/>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676" t="s">
        <v>441</v>
      </c>
      <c r="I243" s="2676"/>
      <c r="J243" s="1245"/>
      <c r="K243" s="1245"/>
      <c r="L243" s="1243"/>
      <c r="M243" s="1243"/>
      <c r="N243" s="1243"/>
      <c r="O243" s="1243"/>
      <c r="P243" s="1243"/>
      <c r="Q243" s="1243"/>
      <c r="R243" s="1243"/>
      <c r="S243" s="2677"/>
      <c r="T243" s="2678"/>
      <c r="U243" s="2678"/>
      <c r="V243" s="2678"/>
      <c r="W243" s="2678"/>
      <c r="X243" s="2678"/>
      <c r="Y243" s="2678"/>
      <c r="Z243" s="2678"/>
      <c r="AA243" s="2678"/>
      <c r="AB243" s="2678"/>
      <c r="AC243" s="2678"/>
      <c r="AD243" s="2678"/>
      <c r="AE243" s="2678"/>
      <c r="AF243" s="2678"/>
      <c r="AG243" s="2678"/>
      <c r="AH243" s="2678"/>
      <c r="AI243" s="2678"/>
      <c r="AJ243" s="2679"/>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680" t="s">
        <v>2286</v>
      </c>
      <c r="I245" s="2680"/>
      <c r="J245" s="2680"/>
      <c r="K245" s="2680"/>
      <c r="L245" s="2680"/>
      <c r="M245" s="2680"/>
      <c r="N245" s="2680"/>
      <c r="O245" s="2680"/>
      <c r="P245" s="1243"/>
      <c r="Q245" s="1243"/>
      <c r="R245" s="1243"/>
      <c r="S245" s="2677"/>
      <c r="T245" s="2678"/>
      <c r="U245" s="2678"/>
      <c r="V245" s="2678"/>
      <c r="W245" s="2678"/>
      <c r="X245" s="2678"/>
      <c r="Y245" s="2678"/>
      <c r="Z245" s="2678"/>
      <c r="AA245" s="2678"/>
      <c r="AB245" s="2678"/>
      <c r="AC245" s="2678"/>
      <c r="AD245" s="2678"/>
      <c r="AE245" s="2678"/>
      <c r="AF245" s="2678"/>
      <c r="AG245" s="2678"/>
      <c r="AH245" s="2678"/>
      <c r="AI245" s="2678"/>
      <c r="AJ245" s="2679"/>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681" t="s">
        <v>2285</v>
      </c>
      <c r="I247" s="2681"/>
      <c r="J247" s="1243"/>
      <c r="K247" s="1243"/>
      <c r="L247" s="1243"/>
      <c r="M247" s="1243"/>
      <c r="N247" s="1243"/>
      <c r="O247" s="1243"/>
      <c r="P247" s="1243"/>
      <c r="Q247" s="1243"/>
      <c r="R247" s="1243"/>
      <c r="S247" s="2682"/>
      <c r="T247" s="2683"/>
      <c r="U247" s="2683"/>
      <c r="V247" s="2683"/>
      <c r="W247" s="2683"/>
      <c r="X247" s="2683"/>
      <c r="Y247" s="2683"/>
      <c r="Z247" s="2683"/>
      <c r="AA247" s="2683"/>
      <c r="AB247" s="2683"/>
      <c r="AC247" s="2683"/>
      <c r="AD247" s="2683"/>
      <c r="AE247" s="2683"/>
      <c r="AF247" s="2683"/>
      <c r="AG247" s="2683"/>
      <c r="AH247" s="2683"/>
      <c r="AI247" s="2683"/>
      <c r="AJ247" s="2684"/>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77734375" customWidth="1"/>
    <col min="2" max="16384" width="8.77734375" hidden="1"/>
  </cols>
  <sheetData>
    <row r="1" spans="1:1" ht="46.8">
      <c r="A1" s="314" t="s">
        <v>971</v>
      </c>
    </row>
    <row r="2" spans="1:1" ht="15.6">
      <c r="A2" s="315"/>
    </row>
    <row r="3" spans="1:1" ht="15.6">
      <c r="A3" s="316" t="s">
        <v>966</v>
      </c>
    </row>
    <row r="4" spans="1:1" ht="15.6">
      <c r="A4" s="316" t="s">
        <v>967</v>
      </c>
    </row>
    <row r="5" spans="1:1" ht="15.6">
      <c r="A5" s="316" t="s">
        <v>968</v>
      </c>
    </row>
    <row r="6" spans="1:1" ht="15.6">
      <c r="A6" s="316" t="s">
        <v>970</v>
      </c>
    </row>
    <row r="7" spans="1:1" ht="15.6">
      <c r="A7" s="316" t="s">
        <v>969</v>
      </c>
    </row>
    <row r="8" spans="1:1" ht="15.6">
      <c r="A8" s="347" t="s">
        <v>1024</v>
      </c>
    </row>
    <row r="9" spans="1:1" ht="15.6">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21875" defaultRowHeight="13.2" zeroHeight="1"/>
  <cols>
    <col min="1" max="1" width="35.77734375" style="205" customWidth="1"/>
    <col min="2" max="4" width="14.77734375" style="205" customWidth="1"/>
    <col min="5" max="5" width="50.77734375" style="205" customWidth="1"/>
    <col min="6" max="253" width="9.21875" style="205" customWidth="1"/>
    <col min="254" max="16384" width="9.2187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5800000</v>
      </c>
      <c r="C5" s="267">
        <f>'Sources and Uses Budget'!$C4</f>
        <v>5800000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5800000</v>
      </c>
      <c r="C9" s="271">
        <f>SUM(C5:C8)</f>
        <v>5800000</v>
      </c>
      <c r="D9" s="271">
        <f t="shared" si="0"/>
        <v>0</v>
      </c>
      <c r="E9" s="269"/>
      <c r="F9" s="268"/>
    </row>
    <row r="10" spans="1:6" s="353" customFormat="1">
      <c r="A10" s="365" t="s">
        <v>594</v>
      </c>
      <c r="B10" s="267">
        <f>'Sources and Uses Budget'!$C9</f>
        <v>10900000</v>
      </c>
      <c r="C10" s="267">
        <f>'Sources and Uses Budget'!$C9</f>
        <v>10900000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10900000</v>
      </c>
      <c r="C12" s="271">
        <f>SUM(C10:C11)</f>
        <v>10900000</v>
      </c>
      <c r="D12" s="271">
        <f t="shared" si="0"/>
        <v>0</v>
      </c>
      <c r="E12" s="269"/>
      <c r="F12" s="268"/>
    </row>
    <row r="13" spans="1:6" s="353" customFormat="1">
      <c r="A13" s="366" t="s">
        <v>84</v>
      </c>
      <c r="B13" s="271">
        <f>SUM(B9+B12)</f>
        <v>16700000</v>
      </c>
      <c r="C13" s="271">
        <f>SUM(C9+C12)</f>
        <v>16700000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2.8">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10742629</v>
      </c>
      <c r="C19" s="267">
        <f>'Sources and Uses Budget'!$C18</f>
        <v>10742629</v>
      </c>
      <c r="D19" s="271">
        <f t="shared" si="0"/>
        <v>0</v>
      </c>
      <c r="E19" s="269"/>
      <c r="F19" s="268"/>
    </row>
    <row r="20" spans="1:6" s="353" customFormat="1">
      <c r="A20" s="145" t="s">
        <v>600</v>
      </c>
      <c r="B20" s="267">
        <f>'Sources and Uses Budget'!$C19</f>
        <v>645508</v>
      </c>
      <c r="C20" s="267">
        <f>'Sources and Uses Budget'!$C19</f>
        <v>645508</v>
      </c>
      <c r="D20" s="271">
        <f t="shared" si="0"/>
        <v>0</v>
      </c>
      <c r="E20" s="269"/>
      <c r="F20" s="268"/>
    </row>
    <row r="21" spans="1:6" s="353" customFormat="1">
      <c r="A21" s="145" t="s">
        <v>137</v>
      </c>
      <c r="B21" s="267">
        <f>'Sources and Uses Budget'!$C20</f>
        <v>386039</v>
      </c>
      <c r="C21" s="267">
        <f>'Sources and Uses Budget'!$C20</f>
        <v>386039</v>
      </c>
      <c r="D21" s="271">
        <f t="shared" si="0"/>
        <v>0</v>
      </c>
      <c r="E21" s="269"/>
      <c r="F21" s="268"/>
    </row>
    <row r="22" spans="1:6" s="353" customFormat="1">
      <c r="A22" s="145" t="s">
        <v>138</v>
      </c>
      <c r="B22" s="267">
        <f>'Sources and Uses Budget'!$C21</f>
        <v>386039</v>
      </c>
      <c r="C22" s="267">
        <f>'Sources and Uses Budget'!$C21</f>
        <v>386039</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157589</v>
      </c>
      <c r="C24" s="267">
        <f>'Sources and Uses Budget'!$C23</f>
        <v>157589</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(Payment &amp; Performance Bond)</v>
      </c>
      <c r="B26" s="267">
        <f>'Sources and Uses Budget'!$C25</f>
        <v>168564</v>
      </c>
      <c r="C26" s="267">
        <f>'Sources and Uses Budget'!$C25</f>
        <v>168564</v>
      </c>
      <c r="D26" s="271">
        <f t="shared" si="0"/>
        <v>0</v>
      </c>
      <c r="E26" s="269"/>
      <c r="F26" s="268"/>
    </row>
    <row r="27" spans="1:6" s="353" customFormat="1">
      <c r="A27" s="1019" t="s">
        <v>133</v>
      </c>
      <c r="B27" s="271">
        <f>SUM(B18:B26)</f>
        <v>12486368</v>
      </c>
      <c r="C27" s="271">
        <f>SUM(C18:C26)</f>
        <v>12486368</v>
      </c>
      <c r="D27" s="271">
        <f>SUM(D18:D26)</f>
        <v>0</v>
      </c>
      <c r="E27" s="269"/>
      <c r="F27" s="268"/>
    </row>
    <row r="28" spans="1:6" s="353" customFormat="1">
      <c r="A28" s="272" t="s">
        <v>141</v>
      </c>
      <c r="B28" s="267">
        <f>'Sources and Uses Budget'!$C$27</f>
        <v>1047050</v>
      </c>
      <c r="C28" s="267">
        <f>'Sources and Uses Budget'!$C$27</f>
        <v>1047050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0</v>
      </c>
      <c r="C31" s="267">
        <f>'Sources and Uses Budget'!$C30</f>
        <v>0</v>
      </c>
      <c r="D31" s="271">
        <f t="shared" si="0"/>
        <v>0</v>
      </c>
      <c r="E31" s="269"/>
      <c r="F31" s="268"/>
    </row>
    <row r="32" spans="1:6" s="353" customFormat="1">
      <c r="A32" s="145" t="s">
        <v>600</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0</v>
      </c>
      <c r="C39" s="271">
        <f>SUM(C30:C38)</f>
        <v>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305000</v>
      </c>
      <c r="C41" s="267">
        <f>'Sources and Uses Budget'!$C40</f>
        <v>305000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305000</v>
      </c>
      <c r="C43" s="271">
        <f>SUM(C41:C42)</f>
        <v>305000</v>
      </c>
      <c r="D43" s="271">
        <f t="shared" si="0"/>
        <v>0</v>
      </c>
      <c r="E43" s="269"/>
      <c r="F43" s="268"/>
    </row>
    <row r="44" spans="1:6" s="353" customFormat="1">
      <c r="A44" s="272" t="s">
        <v>148</v>
      </c>
      <c r="B44" s="267">
        <f>'Sources and Uses Budget'!$C43</f>
        <v>97900</v>
      </c>
      <c r="C44" s="267">
        <f>'Sources and Uses Budget'!$C43</f>
        <v>97900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2188576</v>
      </c>
      <c r="C46" s="267">
        <f>'Sources and Uses Budget'!$C45</f>
        <v>2188576</v>
      </c>
      <c r="D46" s="271">
        <f t="shared" si="0"/>
        <v>0</v>
      </c>
      <c r="E46" s="269"/>
      <c r="F46" s="268"/>
    </row>
    <row r="47" spans="1:6" s="353" customFormat="1">
      <c r="A47" s="145" t="s">
        <v>151</v>
      </c>
      <c r="B47" s="267">
        <f>'Sources and Uses Budget'!$C46</f>
        <v>213000</v>
      </c>
      <c r="C47" s="267">
        <f>'Sources and Uses Budget'!$C46</f>
        <v>213000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320529</v>
      </c>
      <c r="C50" s="267">
        <f>'Sources and Uses Budget'!$C49</f>
        <v>320529</v>
      </c>
      <c r="D50" s="271">
        <f t="shared" si="0"/>
        <v>0</v>
      </c>
      <c r="E50" s="269"/>
      <c r="F50" s="268"/>
    </row>
    <row r="51" spans="1:6" s="353" customFormat="1">
      <c r="A51" s="145" t="s">
        <v>156</v>
      </c>
      <c r="B51" s="267">
        <f>'Sources and Uses Budget'!$C50</f>
        <v>50000</v>
      </c>
      <c r="C51" s="267">
        <f>'Sources and Uses Budget'!$C50</f>
        <v>50000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350000</v>
      </c>
      <c r="C53" s="267">
        <f>'Sources and Uses Budget'!$C52</f>
        <v>350000</v>
      </c>
      <c r="D53" s="271">
        <f t="shared" si="0"/>
        <v>0</v>
      </c>
      <c r="E53" s="269"/>
      <c r="F53" s="268"/>
    </row>
    <row r="54" spans="1:6" s="353" customFormat="1" ht="22.8">
      <c r="A54" s="155" t="str">
        <f>'Sources and Uses Budget'!A53</f>
        <v>Other: (Bank Construction Inspections &amp;Third Party Reports)</v>
      </c>
      <c r="B54" s="267">
        <f>'Sources and Uses Budget'!$C53</f>
        <v>40000</v>
      </c>
      <c r="C54" s="267">
        <f>'Sources and Uses Budget'!$C53</f>
        <v>40000</v>
      </c>
      <c r="D54" s="271">
        <f t="shared" si="0"/>
        <v>0</v>
      </c>
      <c r="E54" s="269"/>
      <c r="F54" s="268"/>
    </row>
    <row r="55" spans="1:6" s="354" customFormat="1">
      <c r="A55" s="272" t="s">
        <v>157</v>
      </c>
      <c r="B55" s="274">
        <f>SUM(B46:B54)</f>
        <v>3162105</v>
      </c>
      <c r="C55" s="274">
        <f>SUM(C46:C54)</f>
        <v>3162105</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30000</v>
      </c>
      <c r="C59" s="267">
        <f>'Sources and Uses Budget'!$C58</f>
        <v>30000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8" customHeight="1">
      <c r="A63" s="272" t="s">
        <v>300</v>
      </c>
      <c r="B63" s="271">
        <f>SUM(B57:B62)</f>
        <v>30000</v>
      </c>
      <c r="C63" s="271">
        <f>SUM(C57:C62)</f>
        <v>30000</v>
      </c>
      <c r="D63" s="271">
        <f t="shared" si="0"/>
        <v>0</v>
      </c>
      <c r="E63" s="269"/>
      <c r="F63" s="268"/>
    </row>
    <row r="64" spans="1:6" s="353" customFormat="1">
      <c r="A64" s="275" t="s">
        <v>301</v>
      </c>
      <c r="B64" s="271">
        <f>SUM(B9+B12+B14+B15+B17+B26+B28+B39+B43+B44+B55+B63)</f>
        <v>21510619</v>
      </c>
      <c r="C64" s="271">
        <f>SUM(C9+C12+C14+C15+C17+C26+C28+C39+C43+C44+C55+C63)</f>
        <v>21510619</v>
      </c>
      <c r="D64" s="271">
        <f t="shared" si="0"/>
        <v>0</v>
      </c>
      <c r="E64" s="269"/>
      <c r="F64" s="268"/>
    </row>
    <row r="65" spans="1:6" s="353" customFormat="1" ht="22.8">
      <c r="A65" s="141" t="s">
        <v>1644</v>
      </c>
      <c r="B65" s="265"/>
      <c r="C65" s="265"/>
      <c r="D65" s="265"/>
      <c r="E65" s="283"/>
      <c r="F65" s="265"/>
    </row>
    <row r="66" spans="1:6" s="353" customFormat="1">
      <c r="A66" s="145" t="s">
        <v>170</v>
      </c>
      <c r="B66" s="267">
        <f>'Sources and Uses Budget'!$C65</f>
        <v>0</v>
      </c>
      <c r="C66" s="267">
        <f>'Sources and Uses Budget'!$C65</f>
        <v>0</v>
      </c>
      <c r="D66" s="271">
        <f t="shared" si="0"/>
        <v>0</v>
      </c>
      <c r="E66" s="269"/>
      <c r="F66" s="268"/>
    </row>
    <row r="67" spans="1:6" s="353" customFormat="1" ht="22.8">
      <c r="A67" s="284" t="s">
        <v>1641</v>
      </c>
      <c r="B67" s="267">
        <f>'Sources and Uses Budget'!$C66</f>
        <v>0</v>
      </c>
      <c r="C67" s="267">
        <f>'Sources and Uses Budget'!$C66</f>
        <v>0</v>
      </c>
      <c r="D67" s="271"/>
      <c r="E67" s="269"/>
      <c r="F67" s="268"/>
    </row>
    <row r="68" spans="1:6" s="353" customFormat="1" ht="22.8">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ht="22.8">
      <c r="A70" s="155" t="str">
        <f>'Sources and Uses Budget'!A69</f>
        <v>Other: (Applicant Legal, Including HUD Counsel)</v>
      </c>
      <c r="B70" s="267">
        <f>'Sources and Uses Budget'!$C69</f>
        <v>85000</v>
      </c>
      <c r="C70" s="267">
        <f>'Sources and Uses Budget'!$C69</f>
        <v>85000</v>
      </c>
      <c r="D70" s="271">
        <f t="shared" si="0"/>
        <v>0</v>
      </c>
      <c r="E70" s="269"/>
      <c r="F70" s="268"/>
    </row>
    <row r="71" spans="1:6" s="353" customFormat="1">
      <c r="A71" s="149" t="s">
        <v>1645</v>
      </c>
      <c r="B71" s="271">
        <f>SUM(B66:B70)</f>
        <v>85000</v>
      </c>
      <c r="C71" s="271">
        <f>SUM(C66:C70)</f>
        <v>85000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224000</v>
      </c>
      <c r="C75" s="267">
        <f>'Sources and Uses Budget'!$C74</f>
        <v>224000</v>
      </c>
      <c r="D75" s="271">
        <f t="shared" si="0"/>
        <v>0</v>
      </c>
      <c r="E75" s="269"/>
      <c r="F75" s="268"/>
    </row>
    <row r="76" spans="1:6" s="353" customFormat="1">
      <c r="A76" s="270" t="s">
        <v>605</v>
      </c>
      <c r="B76" s="267">
        <f>'Sources and Uses Budget'!$C75</f>
        <v>671710</v>
      </c>
      <c r="C76" s="267">
        <f>'Sources and Uses Budget'!$C75</f>
        <v>671710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895710</v>
      </c>
      <c r="C78" s="271">
        <f>SUM(C73:C77)</f>
        <v>895710</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1872955</v>
      </c>
      <c r="C80" s="267">
        <f>'Sources and Uses Budget'!$C79</f>
        <v>1872955</v>
      </c>
      <c r="D80" s="271">
        <f t="shared" si="1"/>
        <v>0</v>
      </c>
      <c r="E80" s="269"/>
      <c r="F80" s="268"/>
    </row>
    <row r="81" spans="1:6" s="353" customFormat="1">
      <c r="A81" s="511" t="s">
        <v>58</v>
      </c>
      <c r="B81" s="267">
        <f>'Sources and Uses Budget'!$C80</f>
        <v>154000</v>
      </c>
      <c r="C81" s="267">
        <f>'Sources and Uses Budget'!$C80</f>
        <v>154000</v>
      </c>
      <c r="D81" s="271">
        <f>C81-B81</f>
        <v>0</v>
      </c>
      <c r="E81" s="269"/>
      <c r="F81" s="268"/>
    </row>
    <row r="82" spans="1:6" s="353" customFormat="1">
      <c r="A82" s="272" t="s">
        <v>1209</v>
      </c>
      <c r="B82" s="271">
        <f>SUM(B80:B81)</f>
        <v>2026955</v>
      </c>
      <c r="C82" s="271">
        <f>SUM(C80:C81)</f>
        <v>2026955</v>
      </c>
      <c r="D82" s="271">
        <f t="shared" si="1"/>
        <v>0</v>
      </c>
      <c r="E82" s="269"/>
      <c r="F82" s="268"/>
    </row>
    <row r="83" spans="1:6" s="353" customFormat="1">
      <c r="A83" s="265" t="s">
        <v>765</v>
      </c>
      <c r="B83" s="265"/>
      <c r="C83" s="265"/>
      <c r="D83" s="265"/>
      <c r="E83" s="283"/>
      <c r="F83" s="265"/>
    </row>
    <row r="84" spans="1:6" s="353" customFormat="1" ht="13.8" customHeight="1">
      <c r="A84" s="270" t="s">
        <v>766</v>
      </c>
      <c r="B84" s="267">
        <f>'Sources and Uses Budget'!$C83</f>
        <v>62544</v>
      </c>
      <c r="C84" s="267">
        <f>'Sources and Uses Budget'!$C83</f>
        <v>62544</v>
      </c>
      <c r="D84" s="271">
        <f t="shared" si="1"/>
        <v>0</v>
      </c>
      <c r="E84" s="269"/>
      <c r="F84" s="268"/>
    </row>
    <row r="85" spans="1:6" s="353" customFormat="1">
      <c r="A85" s="270" t="s">
        <v>767</v>
      </c>
      <c r="B85" s="267">
        <f>'Sources and Uses Budget'!$C84</f>
        <v>0</v>
      </c>
      <c r="C85" s="267">
        <f>'Sources and Uses Budget'!$C84</f>
        <v>0</v>
      </c>
      <c r="D85" s="271">
        <f t="shared" si="1"/>
        <v>0</v>
      </c>
      <c r="E85" s="269"/>
      <c r="F85" s="268"/>
    </row>
    <row r="86" spans="1:6" s="353" customFormat="1">
      <c r="A86" s="270" t="s">
        <v>768</v>
      </c>
      <c r="B86" s="267">
        <f>'Sources and Uses Budget'!$C85</f>
        <v>0</v>
      </c>
      <c r="C86" s="267">
        <f>'Sources and Uses Budget'!$C85</f>
        <v>0</v>
      </c>
      <c r="D86" s="271">
        <f t="shared" si="1"/>
        <v>0</v>
      </c>
      <c r="E86" s="269"/>
      <c r="F86" s="268"/>
    </row>
    <row r="87" spans="1:6" s="353" customFormat="1">
      <c r="A87" s="270" t="s">
        <v>769</v>
      </c>
      <c r="B87" s="267">
        <f>'Sources and Uses Budget'!$C86</f>
        <v>101975</v>
      </c>
      <c r="C87" s="267">
        <f>'Sources and Uses Budget'!$C86</f>
        <v>101975</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25000</v>
      </c>
      <c r="C89" s="267">
        <f>'Sources and Uses Budget'!$C88</f>
        <v>25000</v>
      </c>
      <c r="D89" s="271">
        <f t="shared" si="1"/>
        <v>0</v>
      </c>
      <c r="E89" s="269"/>
      <c r="F89" s="268"/>
    </row>
    <row r="90" spans="1:6" s="353" customFormat="1">
      <c r="A90" s="270" t="s">
        <v>772</v>
      </c>
      <c r="B90" s="267">
        <f>'Sources and Uses Budget'!$C89</f>
        <v>300000</v>
      </c>
      <c r="C90" s="267">
        <f>'Sources and Uses Budget'!$C89</f>
        <v>300000</v>
      </c>
      <c r="D90" s="271">
        <f t="shared" si="1"/>
        <v>0</v>
      </c>
      <c r="E90" s="269"/>
      <c r="F90" s="268"/>
    </row>
    <row r="91" spans="1:6" s="353" customFormat="1">
      <c r="A91" s="270" t="s">
        <v>773</v>
      </c>
      <c r="B91" s="267">
        <f>'Sources and Uses Budget'!$C90</f>
        <v>5500</v>
      </c>
      <c r="C91" s="267">
        <f>'Sources and Uses Budget'!$C90</f>
        <v>5500</v>
      </c>
      <c r="D91" s="271">
        <f t="shared" si="1"/>
        <v>0</v>
      </c>
      <c r="E91" s="269"/>
      <c r="F91" s="268"/>
    </row>
    <row r="92" spans="1:6" s="353" customFormat="1">
      <c r="A92" s="270" t="s">
        <v>371</v>
      </c>
      <c r="B92" s="267">
        <f>'Sources and Uses Budget'!$C91</f>
        <v>30000</v>
      </c>
      <c r="C92" s="267">
        <f>'Sources and Uses Budget'!$C91</f>
        <v>30000</v>
      </c>
      <c r="D92" s="271">
        <f t="shared" si="1"/>
        <v>0</v>
      </c>
      <c r="E92" s="269"/>
      <c r="F92" s="268"/>
    </row>
    <row r="93" spans="1:6" s="353" customFormat="1">
      <c r="A93" s="511" t="s">
        <v>1211</v>
      </c>
      <c r="B93" s="267">
        <f>'Sources and Uses Budget'!$C92</f>
        <v>11000</v>
      </c>
      <c r="C93" s="267">
        <f>'Sources and Uses Budget'!$C92</f>
        <v>11000</v>
      </c>
      <c r="D93" s="271">
        <f t="shared" si="1"/>
        <v>0</v>
      </c>
      <c r="E93" s="269"/>
      <c r="F93" s="268"/>
    </row>
    <row r="94" spans="1:6" s="353" customFormat="1">
      <c r="A94" s="273" t="s">
        <v>34</v>
      </c>
      <c r="B94" s="267">
        <f>'Sources and Uses Budget'!$C93</f>
        <v>40000</v>
      </c>
      <c r="C94" s="267">
        <f>'Sources and Uses Budget'!$C93</f>
        <v>40000</v>
      </c>
      <c r="D94" s="271">
        <f t="shared" si="1"/>
        <v>0</v>
      </c>
      <c r="E94" s="269"/>
      <c r="F94" s="268"/>
    </row>
    <row r="95" spans="1:6" s="353" customFormat="1">
      <c r="A95" s="273" t="s">
        <v>34</v>
      </c>
      <c r="B95" s="267">
        <f>'Sources and Uses Budget'!$C94</f>
        <v>91850</v>
      </c>
      <c r="C95" s="267">
        <f>'Sources and Uses Budget'!$C94</f>
        <v>91850</v>
      </c>
      <c r="D95" s="271">
        <f t="shared" si="1"/>
        <v>0</v>
      </c>
      <c r="E95" s="269"/>
      <c r="F95" s="268"/>
    </row>
    <row r="96" spans="1:6" s="353" customFormat="1">
      <c r="A96" s="273" t="s">
        <v>34</v>
      </c>
      <c r="B96" s="267">
        <f>'Sources and Uses Budget'!$C95</f>
        <v>1279384</v>
      </c>
      <c r="C96" s="267">
        <f>'Sources and Uses Budget'!$C95</f>
        <v>1279384</v>
      </c>
      <c r="D96" s="271">
        <f t="shared" si="1"/>
        <v>0</v>
      </c>
      <c r="E96" s="269"/>
      <c r="F96" s="268"/>
    </row>
    <row r="97" spans="1:6" s="353" customFormat="1">
      <c r="A97" s="272" t="s">
        <v>774</v>
      </c>
      <c r="B97" s="271">
        <f>SUM(B84:B96)</f>
        <v>1947253</v>
      </c>
      <c r="C97" s="271">
        <f>SUM(C84:C96)</f>
        <v>1947253</v>
      </c>
      <c r="D97" s="271">
        <f t="shared" si="1"/>
        <v>0</v>
      </c>
      <c r="E97" s="269"/>
      <c r="F97" s="268"/>
    </row>
    <row r="98" spans="1:6" s="353" customFormat="1">
      <c r="A98" s="272" t="s">
        <v>775</v>
      </c>
      <c r="B98" s="271">
        <f>SUM(B64+B71+B78+B82+B97)</f>
        <v>26465537</v>
      </c>
      <c r="C98" s="271">
        <f>SUM(C64+C71+C78+C82+C97)</f>
        <v>26465537</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4481500</v>
      </c>
      <c r="C100" s="267">
        <f>'Sources and Uses Budget'!$C99</f>
        <v>4481500</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4481500</v>
      </c>
      <c r="C105" s="271">
        <f>SUM(C100:C104)</f>
        <v>4481500</v>
      </c>
      <c r="D105" s="271">
        <f t="shared" si="1"/>
        <v>0</v>
      </c>
      <c r="E105" s="269"/>
      <c r="F105" s="268"/>
    </row>
    <row r="106" spans="1:6" s="353" customFormat="1">
      <c r="A106" s="272" t="s">
        <v>780</v>
      </c>
      <c r="B106" s="274">
        <f>SUM(B98+B105)</f>
        <v>30947037</v>
      </c>
      <c r="C106" s="274">
        <f>SUM(C98+C105)</f>
        <v>30947037</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77734375" style="403" customWidth="1"/>
    <col min="11" max="16384" width="8.77734375" style="403" hidden="1"/>
  </cols>
  <sheetData>
    <row r="1" spans="1:10" ht="15.6">
      <c r="A1" s="1273" t="s">
        <v>1869</v>
      </c>
      <c r="B1" s="1274"/>
      <c r="C1" s="1274"/>
      <c r="D1" s="1274"/>
      <c r="E1" s="1274"/>
      <c r="F1" s="1274"/>
      <c r="G1" s="1274"/>
      <c r="H1" s="1274"/>
      <c r="I1" s="1274"/>
      <c r="J1" s="1274"/>
    </row>
    <row r="2" spans="1:10" ht="15">
      <c r="A2" s="1277" t="s">
        <v>1268</v>
      </c>
      <c r="B2" s="1278"/>
      <c r="C2" s="1278"/>
      <c r="D2" s="1278"/>
      <c r="E2" s="1278"/>
      <c r="F2" s="1278"/>
      <c r="G2" s="1278"/>
      <c r="H2" s="1278"/>
      <c r="I2" s="1278"/>
      <c r="J2" s="1278"/>
    </row>
    <row r="3" spans="1:10" ht="13.2"/>
    <row r="4" spans="1:10" ht="12.75" customHeight="1">
      <c r="A4" s="1275" t="s">
        <v>2048</v>
      </c>
      <c r="B4" s="1275"/>
      <c r="C4" s="1275"/>
      <c r="D4" s="1275"/>
      <c r="E4" s="1275"/>
      <c r="F4" s="1275"/>
      <c r="G4" s="1275"/>
      <c r="H4" s="1275"/>
      <c r="I4" s="1275"/>
      <c r="J4" s="1275"/>
    </row>
    <row r="5" spans="1:10" ht="13.2">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3.2">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3.2"/>
    <row r="10" spans="1:10" ht="12.75" customHeight="1">
      <c r="A10" s="1279" t="s">
        <v>1874</v>
      </c>
      <c r="B10" s="1279"/>
      <c r="C10" s="1279"/>
      <c r="D10" s="1279"/>
      <c r="E10" s="1279"/>
      <c r="F10" s="1279"/>
      <c r="G10" s="1279"/>
      <c r="H10" s="1279"/>
      <c r="I10" s="1279"/>
      <c r="J10" s="1279"/>
    </row>
    <row r="11" spans="1:10" ht="13.2">
      <c r="A11" s="1279"/>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525"/>
      <c r="B16" s="525"/>
      <c r="C16" s="525"/>
      <c r="D16" s="525"/>
      <c r="E16" s="525"/>
      <c r="F16" s="525"/>
      <c r="G16" s="525"/>
      <c r="H16" s="525"/>
      <c r="I16" s="525"/>
      <c r="J16" s="525"/>
    </row>
    <row r="17" spans="1:10" ht="13.2">
      <c r="A17" s="477" t="s">
        <v>1873</v>
      </c>
      <c r="B17" s="417"/>
      <c r="C17" s="417"/>
      <c r="D17" s="417"/>
      <c r="E17" s="417"/>
      <c r="F17" s="417"/>
      <c r="G17" s="417"/>
      <c r="H17" s="417"/>
      <c r="I17" s="417"/>
      <c r="J17" s="417"/>
    </row>
    <row r="18" spans="1:10" ht="13.2">
      <c r="A18" s="417" t="s">
        <v>249</v>
      </c>
      <c r="B18" s="417"/>
      <c r="C18" s="417"/>
      <c r="D18" s="417"/>
      <c r="E18" s="417"/>
      <c r="F18" s="417"/>
      <c r="G18" s="417"/>
      <c r="H18" s="417"/>
      <c r="I18" s="417"/>
      <c r="J18" s="417"/>
    </row>
    <row r="19" spans="1:10" ht="13.2">
      <c r="A19" s="1278" t="s">
        <v>1189</v>
      </c>
      <c r="B19" s="1278"/>
      <c r="C19" s="1278"/>
      <c r="D19" s="1278"/>
      <c r="E19" s="1278"/>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5" t="s">
        <v>1190</v>
      </c>
      <c r="B56" s="1275"/>
      <c r="C56" s="1275"/>
      <c r="D56" s="1275"/>
      <c r="E56" s="1275"/>
      <c r="F56" s="1275"/>
      <c r="G56" s="1275"/>
      <c r="H56" s="1275"/>
      <c r="I56" s="1275"/>
      <c r="J56" s="1275"/>
    </row>
    <row r="57" spans="1:10" ht="13.2">
      <c r="A57" s="1275"/>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row r="60" spans="1:10" ht="13.2">
      <c r="A60" s="403" t="s">
        <v>1189</v>
      </c>
    </row>
    <row r="61" spans="1:10" ht="13.2"/>
    <row r="62" spans="1:10" ht="13.2"/>
    <row r="63" spans="1:10" ht="13.2"/>
    <row r="64" spans="1:10" ht="13.2"/>
    <row r="65" spans="1:9" ht="13.2"/>
    <row r="66" spans="1:9" ht="13.2"/>
    <row r="67" spans="1:9" ht="13.2"/>
    <row r="68" spans="1:9" ht="13.2"/>
    <row r="69" spans="1:9" ht="13.2"/>
    <row r="70" spans="1:9" ht="13.2"/>
    <row r="71" spans="1:9" ht="13.2">
      <c r="A71" s="1276" t="s">
        <v>1870</v>
      </c>
      <c r="B71" s="1276"/>
      <c r="C71" s="1276"/>
      <c r="D71" s="1276"/>
      <c r="E71" s="1276"/>
      <c r="F71" s="1276"/>
      <c r="G71" s="1276"/>
      <c r="H71" s="1276"/>
      <c r="I71" s="1276"/>
    </row>
    <row r="72" spans="1:9" ht="13.2">
      <c r="A72" s="1266" t="s">
        <v>2046</v>
      </c>
      <c r="B72" s="1266"/>
      <c r="C72" s="1266"/>
      <c r="D72" s="1266"/>
      <c r="E72" s="1266"/>
    </row>
    <row r="73" spans="1:9" ht="13.2">
      <c r="A73" s="1266" t="s">
        <v>2047</v>
      </c>
      <c r="B73" s="1266"/>
      <c r="C73" s="1266"/>
      <c r="D73" s="1266"/>
      <c r="E73" s="1266"/>
    </row>
    <row r="74" spans="1:9" ht="13.2">
      <c r="A74" s="1266" t="s">
        <v>1871</v>
      </c>
      <c r="B74" s="1266"/>
      <c r="C74" s="1266"/>
      <c r="D74" s="1266"/>
      <c r="E74" s="1266"/>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80" zoomScaleNormal="100" workbookViewId="0">
      <selection activeCell="F625" sqref="F625"/>
    </sheetView>
  </sheetViews>
  <sheetFormatPr defaultColWidth="0" defaultRowHeight="13.2" zeroHeight="1"/>
  <cols>
    <col min="1" max="1" width="3.5546875" style="481" customWidth="1"/>
    <col min="2" max="2" width="13.5546875" style="481" customWidth="1"/>
    <col min="3" max="3" width="2.5546875" style="481" customWidth="1"/>
    <col min="4" max="5" width="3.5546875" style="403" customWidth="1"/>
    <col min="6" max="6" width="65.5546875" style="403" customWidth="1"/>
    <col min="7" max="7" width="1.5546875" style="403" customWidth="1"/>
    <col min="8" max="8" width="3.5546875" style="403" customWidth="1"/>
    <col min="9" max="9" width="9.21875" style="405" customWidth="1"/>
    <col min="10" max="10" width="8.77734375" style="403" hidden="1" customWidth="1"/>
    <col min="11" max="16384" width="8.77734375" style="403" hidden="1"/>
  </cols>
  <sheetData>
    <row r="1" spans="1:13"/>
    <row r="2" spans="1:13">
      <c r="A2" s="1280" t="s">
        <v>2461</v>
      </c>
      <c r="B2" s="1280"/>
      <c r="C2" s="1280"/>
      <c r="D2" s="1280"/>
      <c r="E2" s="1280"/>
      <c r="F2" s="1280"/>
      <c r="G2" s="1280"/>
      <c r="H2" s="1280"/>
      <c r="I2" s="1280"/>
    </row>
    <row r="3" spans="1:13">
      <c r="A3" s="1281" t="s">
        <v>2220</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2219</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1101</v>
      </c>
      <c r="B9" s="1285"/>
      <c r="C9" s="1285"/>
      <c r="D9" s="1285"/>
      <c r="E9" s="1285"/>
      <c r="F9" s="1285"/>
      <c r="G9" s="1285"/>
      <c r="H9" s="1029"/>
      <c r="I9" s="1030"/>
    </row>
    <row r="10" spans="1:13">
      <c r="A10" s="483"/>
      <c r="B10" s="483"/>
      <c r="E10" s="405"/>
    </row>
    <row r="11" spans="1:13" ht="13.8" customHeight="1">
      <c r="C11" s="483"/>
      <c r="D11" s="1304" t="s">
        <v>1100</v>
      </c>
      <c r="E11" s="1304"/>
      <c r="F11" s="1304"/>
    </row>
    <row r="12" spans="1:13">
      <c r="C12" s="483"/>
      <c r="D12" s="1304"/>
      <c r="E12" s="1304"/>
      <c r="F12" s="1304"/>
    </row>
    <row r="13" spans="1:13">
      <c r="A13" s="484"/>
      <c r="B13" s="484"/>
      <c r="C13" s="484"/>
      <c r="D13" s="1283" t="s">
        <v>1090</v>
      </c>
      <c r="E13" s="1283"/>
      <c r="F13" s="1283"/>
      <c r="M13" s="96"/>
    </row>
    <row r="14" spans="1:13">
      <c r="A14" s="484"/>
      <c r="B14" s="484"/>
      <c r="C14" s="484"/>
      <c r="D14" s="477"/>
      <c r="L14" s="313"/>
    </row>
    <row r="15" spans="1:13" ht="14.4">
      <c r="A15" s="485"/>
      <c r="B15" s="486" t="s">
        <v>2743</v>
      </c>
      <c r="C15" s="484"/>
      <c r="D15" s="1282" t="s">
        <v>1922</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1920</v>
      </c>
      <c r="F18" s="446"/>
      <c r="I18" s="491"/>
    </row>
    <row r="19" spans="1:9">
      <c r="A19" s="484"/>
      <c r="B19" s="484"/>
      <c r="C19" s="484"/>
      <c r="I19" s="491"/>
    </row>
    <row r="20" spans="1:9" ht="14.4">
      <c r="A20" s="485"/>
      <c r="B20" s="486" t="s">
        <v>2742</v>
      </c>
      <c r="D20" s="1282" t="s">
        <v>1923</v>
      </c>
      <c r="E20" s="1282"/>
      <c r="F20" s="1282"/>
      <c r="I20" s="491"/>
    </row>
    <row r="21" spans="1:9" ht="14.4">
      <c r="A21" s="485"/>
      <c r="D21" s="1282"/>
      <c r="E21" s="1282"/>
      <c r="F21" s="1282"/>
      <c r="I21" s="491"/>
    </row>
    <row r="22" spans="1:9" ht="14.4">
      <c r="A22" s="485"/>
      <c r="D22" s="393"/>
      <c r="E22" s="96" t="s">
        <v>1919</v>
      </c>
      <c r="F22" s="393"/>
      <c r="I22" s="491"/>
    </row>
    <row r="23" spans="1:9" ht="14.4">
      <c r="A23" s="485"/>
      <c r="B23" s="485"/>
      <c r="D23" s="447"/>
      <c r="I23" s="491"/>
    </row>
    <row r="24" spans="1:9" ht="14.4">
      <c r="A24" s="485"/>
      <c r="B24" s="486" t="s">
        <v>2743</v>
      </c>
      <c r="D24" s="1282" t="s">
        <v>1091</v>
      </c>
      <c r="E24" s="1282"/>
      <c r="F24" s="1282"/>
      <c r="I24" s="491"/>
    </row>
    <row r="25" spans="1:9" ht="14.4">
      <c r="A25" s="485"/>
      <c r="B25" s="485"/>
      <c r="D25" s="1282"/>
      <c r="E25" s="1282"/>
      <c r="F25" s="1282"/>
      <c r="I25" s="491"/>
    </row>
    <row r="26" spans="1:9">
      <c r="I26" s="491"/>
    </row>
    <row r="27" spans="1:9" ht="14.4">
      <c r="A27" s="485"/>
      <c r="B27" s="486" t="s">
        <v>2742</v>
      </c>
      <c r="D27" s="1282" t="s">
        <v>2049</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2743</v>
      </c>
      <c r="D33" s="1282" t="s">
        <v>2050</v>
      </c>
      <c r="E33" s="1282"/>
      <c r="F33" s="1282"/>
      <c r="I33" s="491"/>
    </row>
    <row r="34" spans="1:9">
      <c r="D34" s="1282"/>
      <c r="E34" s="1282"/>
      <c r="F34" s="1282"/>
      <c r="I34" s="491"/>
    </row>
    <row r="35" spans="1:9" ht="14.4">
      <c r="A35" s="485"/>
      <c r="B35" s="485"/>
      <c r="D35" s="448"/>
      <c r="I35" s="491"/>
    </row>
    <row r="36" spans="1:9" ht="14.55" customHeight="1">
      <c r="A36" s="485"/>
      <c r="B36" s="486" t="s">
        <v>2743</v>
      </c>
      <c r="D36" s="1282" t="s">
        <v>1214</v>
      </c>
      <c r="E36" s="1282"/>
      <c r="F36" s="1282"/>
      <c r="I36" s="491"/>
    </row>
    <row r="37" spans="1:9" ht="14.4">
      <c r="A37" s="485"/>
      <c r="B37" s="485"/>
      <c r="D37" s="1282"/>
      <c r="E37" s="1282"/>
      <c r="F37" s="1282"/>
      <c r="I37" s="491"/>
    </row>
    <row r="38" spans="1:9" ht="14.4">
      <c r="A38" s="485"/>
      <c r="B38" s="485"/>
      <c r="D38" s="1282"/>
      <c r="E38" s="1282"/>
      <c r="F38" s="1282"/>
      <c r="I38" s="491"/>
    </row>
    <row r="39" spans="1:9" ht="14.4">
      <c r="A39" s="485"/>
      <c r="B39" s="485"/>
      <c r="D39" s="1282"/>
      <c r="E39" s="1282"/>
      <c r="F39" s="1282"/>
      <c r="I39" s="491"/>
    </row>
    <row r="40" spans="1:9" ht="14.4">
      <c r="A40" s="485"/>
      <c r="B40" s="485"/>
      <c r="I40" s="491"/>
    </row>
    <row r="41" spans="1:9" ht="14.4">
      <c r="A41" s="485"/>
      <c r="B41" s="486" t="s">
        <v>2743</v>
      </c>
      <c r="D41" s="1282" t="s">
        <v>1092</v>
      </c>
      <c r="E41" s="1282"/>
      <c r="F41" s="1282"/>
      <c r="I41" s="491"/>
    </row>
    <row r="42" spans="1:9" ht="14.4">
      <c r="A42" s="485"/>
      <c r="B42" s="485"/>
      <c r="D42" s="1282"/>
      <c r="E42" s="1282"/>
      <c r="F42" s="1282"/>
      <c r="I42" s="491"/>
    </row>
    <row r="43" spans="1:9" ht="14.4">
      <c r="A43" s="485"/>
      <c r="B43" s="485"/>
      <c r="D43" s="1282"/>
      <c r="E43" s="1282"/>
      <c r="F43" s="1282"/>
      <c r="I43" s="491"/>
    </row>
    <row r="44" spans="1:9" ht="14.4">
      <c r="A44" s="485"/>
      <c r="B44" s="485"/>
      <c r="D44" s="1282"/>
      <c r="E44" s="1282"/>
      <c r="F44" s="1282"/>
      <c r="I44" s="491"/>
    </row>
    <row r="45" spans="1:9" ht="14.4">
      <c r="A45" s="485"/>
      <c r="B45" s="485"/>
      <c r="D45" s="1282"/>
      <c r="E45" s="1282"/>
      <c r="F45" s="1282"/>
      <c r="I45" s="491"/>
    </row>
    <row r="46" spans="1:9" ht="14.4">
      <c r="A46" s="485"/>
      <c r="B46" s="485"/>
      <c r="D46" s="446"/>
      <c r="E46" s="446"/>
      <c r="F46" s="446"/>
      <c r="I46" s="491"/>
    </row>
    <row r="47" spans="1:9" ht="14.4">
      <c r="A47" s="485"/>
      <c r="B47" s="486" t="s">
        <v>2743</v>
      </c>
      <c r="D47" s="1282" t="s">
        <v>1093</v>
      </c>
      <c r="E47" s="1282"/>
      <c r="F47" s="1282"/>
      <c r="I47" s="491"/>
    </row>
    <row r="48" spans="1:9" ht="14.4">
      <c r="A48" s="485"/>
      <c r="B48" s="485"/>
      <c r="D48" s="1282"/>
      <c r="E48" s="1282"/>
      <c r="F48" s="1282"/>
      <c r="I48" s="491"/>
    </row>
    <row r="49" spans="1:9" ht="14.4">
      <c r="A49" s="485"/>
      <c r="B49" s="485"/>
      <c r="D49" s="1282"/>
      <c r="E49" s="1282"/>
      <c r="F49" s="1282"/>
      <c r="I49" s="491"/>
    </row>
    <row r="50" spans="1:9" ht="23.25" customHeight="1">
      <c r="A50" s="485"/>
      <c r="B50" s="485"/>
      <c r="D50" s="1282"/>
      <c r="E50" s="1282"/>
      <c r="F50" s="1282"/>
      <c r="I50" s="491"/>
    </row>
    <row r="51" spans="1:9" ht="14.4">
      <c r="A51" s="485"/>
      <c r="B51" s="485"/>
      <c r="D51" s="447"/>
      <c r="I51" s="491"/>
    </row>
    <row r="52" spans="1:9" ht="14.55" customHeight="1">
      <c r="A52" s="485"/>
      <c r="B52" s="486" t="s">
        <v>2742</v>
      </c>
      <c r="D52" s="1282" t="s">
        <v>1094</v>
      </c>
      <c r="E52" s="1282"/>
      <c r="F52" s="1282"/>
      <c r="I52" s="491"/>
    </row>
    <row r="53" spans="1:9" ht="14.4">
      <c r="A53" s="485"/>
      <c r="B53" s="485"/>
      <c r="D53" s="1282"/>
      <c r="E53" s="1282"/>
      <c r="F53" s="1282"/>
      <c r="I53" s="491"/>
    </row>
    <row r="54" spans="1:9" ht="14.4">
      <c r="A54" s="485"/>
      <c r="B54" s="485"/>
      <c r="D54" s="1282"/>
      <c r="E54" s="1282"/>
      <c r="F54" s="1282"/>
      <c r="I54" s="491"/>
    </row>
    <row r="55" spans="1:9" ht="14.4">
      <c r="A55" s="485"/>
      <c r="B55" s="485"/>
      <c r="I55" s="491"/>
    </row>
    <row r="56" spans="1:9" ht="14.4">
      <c r="A56" s="485"/>
      <c r="B56" s="486" t="s">
        <v>2742</v>
      </c>
      <c r="D56" s="1306" t="s">
        <v>1095</v>
      </c>
      <c r="E56" s="1306"/>
      <c r="F56" s="1306"/>
      <c r="I56" s="491"/>
    </row>
    <row r="57" spans="1:9" ht="14.4">
      <c r="A57" s="485"/>
      <c r="B57" s="485"/>
      <c r="D57" s="1306"/>
      <c r="E57" s="1306"/>
      <c r="F57" s="1306"/>
      <c r="I57" s="491"/>
    </row>
    <row r="58" spans="1:9" ht="14.4">
      <c r="A58" s="485"/>
      <c r="B58" s="485"/>
      <c r="D58" s="393" t="s">
        <v>1921</v>
      </c>
      <c r="E58" s="446"/>
      <c r="F58" s="446"/>
      <c r="I58" s="491"/>
    </row>
    <row r="59" spans="1:9" ht="14.4">
      <c r="A59" s="485"/>
      <c r="B59" s="485"/>
      <c r="D59" s="446"/>
      <c r="E59" s="313" t="s">
        <v>1920</v>
      </c>
      <c r="F59" s="446"/>
      <c r="I59" s="491"/>
    </row>
    <row r="60" spans="1:9">
      <c r="D60" s="448"/>
      <c r="I60" s="491"/>
    </row>
    <row r="61" spans="1:9" ht="14.4">
      <c r="A61" s="485"/>
      <c r="B61" s="486" t="s">
        <v>2743</v>
      </c>
      <c r="D61" s="1282" t="s">
        <v>1096</v>
      </c>
      <c r="E61" s="1282"/>
      <c r="F61" s="1282"/>
      <c r="I61" s="491"/>
    </row>
    <row r="62" spans="1:9">
      <c r="D62" s="1282"/>
      <c r="E62" s="1282"/>
      <c r="F62" s="1282"/>
      <c r="I62" s="491"/>
    </row>
    <row r="63" spans="1:9">
      <c r="D63" s="1282"/>
      <c r="E63" s="1282"/>
      <c r="F63" s="1282"/>
      <c r="I63" s="491"/>
    </row>
    <row r="64" spans="1:9">
      <c r="I64" s="491"/>
    </row>
    <row r="65" spans="1:9" ht="14.4">
      <c r="A65" s="485"/>
      <c r="B65" s="486" t="s">
        <v>2743</v>
      </c>
      <c r="D65" s="1282" t="s">
        <v>1097</v>
      </c>
      <c r="E65" s="1282"/>
      <c r="F65" s="1282"/>
      <c r="I65" s="491"/>
    </row>
    <row r="66" spans="1:9">
      <c r="D66" s="1282"/>
      <c r="E66" s="1282"/>
      <c r="F66" s="1282"/>
      <c r="I66" s="491"/>
    </row>
    <row r="67" spans="1:9">
      <c r="I67" s="491"/>
    </row>
    <row r="68" spans="1:9" ht="14.4">
      <c r="A68" s="485"/>
      <c r="B68" s="486" t="s">
        <v>2743</v>
      </c>
      <c r="D68" s="1282" t="s">
        <v>1098</v>
      </c>
      <c r="E68" s="1282"/>
      <c r="F68" s="1282"/>
      <c r="I68" s="491"/>
    </row>
    <row r="69" spans="1:9">
      <c r="D69" s="1282"/>
      <c r="E69" s="1282"/>
      <c r="F69" s="1282"/>
      <c r="I69" s="491"/>
    </row>
    <row r="70" spans="1:9">
      <c r="D70" s="1282"/>
      <c r="E70" s="1282"/>
      <c r="F70" s="1282"/>
      <c r="I70" s="491"/>
    </row>
    <row r="71" spans="1:9">
      <c r="I71" s="491"/>
    </row>
    <row r="72" spans="1:9" ht="14.4">
      <c r="A72" s="485"/>
      <c r="B72" s="486" t="s">
        <v>2743</v>
      </c>
      <c r="D72" s="1282" t="s">
        <v>1099</v>
      </c>
      <c r="E72" s="1282"/>
      <c r="F72" s="1282"/>
      <c r="I72" s="491"/>
    </row>
    <row r="73" spans="1:9">
      <c r="D73" s="1282"/>
      <c r="E73" s="1282"/>
      <c r="F73" s="1282"/>
      <c r="I73" s="491"/>
    </row>
    <row r="74" spans="1:9" ht="14.4">
      <c r="A74" s="485"/>
      <c r="B74" s="485"/>
      <c r="D74" s="447"/>
      <c r="I74" s="491"/>
    </row>
    <row r="75" spans="1:9">
      <c r="A75" s="1285" t="s">
        <v>1044</v>
      </c>
      <c r="B75" s="1285"/>
      <c r="C75" s="1285"/>
      <c r="D75" s="1285"/>
      <c r="E75" s="1285"/>
      <c r="F75" s="1285"/>
      <c r="G75" s="1285"/>
      <c r="H75" s="1029"/>
      <c r="I75" s="1155"/>
    </row>
    <row r="76" spans="1:9">
      <c r="I76" s="491"/>
    </row>
    <row r="77" spans="1:9">
      <c r="C77" s="487"/>
      <c r="D77" s="1284" t="s">
        <v>1102</v>
      </c>
      <c r="E77" s="1284"/>
      <c r="F77" s="1284"/>
      <c r="I77" s="491"/>
    </row>
    <row r="78" spans="1:9">
      <c r="A78" s="447"/>
      <c r="B78" s="447"/>
      <c r="D78" s="1282" t="s">
        <v>1117</v>
      </c>
      <c r="E78" s="1282"/>
      <c r="F78" s="1282"/>
      <c r="I78" s="491"/>
    </row>
    <row r="79" spans="1:9">
      <c r="A79" s="447"/>
      <c r="B79" s="447"/>
      <c r="I79" s="491"/>
    </row>
    <row r="80" spans="1:9" ht="13.8" customHeight="1">
      <c r="A80" s="485"/>
      <c r="B80" s="486" t="s">
        <v>2742</v>
      </c>
      <c r="D80" s="1282" t="s">
        <v>1245</v>
      </c>
      <c r="E80" s="1282"/>
      <c r="F80" s="1282"/>
      <c r="I80" s="491"/>
    </row>
    <row r="81" spans="1:9" ht="14.4">
      <c r="A81" s="485"/>
      <c r="B81" s="485"/>
      <c r="D81" s="1282"/>
      <c r="E81" s="1282"/>
      <c r="F81" s="1282"/>
      <c r="I81" s="491"/>
    </row>
    <row r="82" spans="1:9" ht="14.4">
      <c r="A82" s="485"/>
      <c r="B82" s="485"/>
      <c r="D82" s="1282"/>
      <c r="E82" s="1282"/>
      <c r="F82" s="1282"/>
      <c r="I82" s="491"/>
    </row>
    <row r="83" spans="1:9" ht="14.4">
      <c r="A83" s="485"/>
      <c r="B83" s="485"/>
      <c r="D83" s="1282"/>
      <c r="E83" s="1282"/>
      <c r="F83" s="1282"/>
      <c r="I83" s="491"/>
    </row>
    <row r="84" spans="1:9" ht="14.4">
      <c r="A84" s="485"/>
      <c r="B84" s="485"/>
      <c r="D84" s="1282"/>
      <c r="E84" s="1282"/>
      <c r="F84" s="1282"/>
      <c r="I84" s="491"/>
    </row>
    <row r="85" spans="1:9" ht="14.4">
      <c r="A85" s="485"/>
      <c r="B85" s="485"/>
      <c r="D85" s="1282"/>
      <c r="E85" s="1282"/>
      <c r="F85" s="1282"/>
      <c r="I85" s="491"/>
    </row>
    <row r="86" spans="1:9" ht="14.4">
      <c r="A86" s="485"/>
      <c r="B86" s="485"/>
      <c r="D86" s="1282"/>
      <c r="E86" s="1282"/>
      <c r="F86" s="1282"/>
      <c r="I86" s="491"/>
    </row>
    <row r="87" spans="1:9" ht="14.4">
      <c r="A87" s="485"/>
      <c r="B87" s="485"/>
      <c r="D87" s="1282"/>
      <c r="E87" s="1282"/>
      <c r="F87" s="1282"/>
      <c r="I87" s="491"/>
    </row>
    <row r="88" spans="1:9" ht="14.4">
      <c r="A88" s="485"/>
      <c r="B88" s="485"/>
      <c r="D88" s="386"/>
      <c r="E88" s="386"/>
      <c r="F88" s="386"/>
      <c r="I88" s="491"/>
    </row>
    <row r="89" spans="1:9" ht="15" customHeight="1">
      <c r="A89" s="485"/>
      <c r="B89" s="486" t="s">
        <v>2742</v>
      </c>
      <c r="D89" s="1282" t="s">
        <v>1742</v>
      </c>
      <c r="E89" s="1282"/>
      <c r="F89" s="1282"/>
      <c r="I89" s="491"/>
    </row>
    <row r="90" spans="1:9" ht="14.4">
      <c r="A90" s="485"/>
      <c r="B90" s="485"/>
      <c r="D90" s="1282"/>
      <c r="E90" s="1282"/>
      <c r="F90" s="1282"/>
      <c r="I90" s="491"/>
    </row>
    <row r="91" spans="1:9" ht="14.4">
      <c r="A91" s="485"/>
      <c r="B91" s="485"/>
      <c r="D91" s="446"/>
      <c r="E91" s="446"/>
      <c r="F91" s="446"/>
      <c r="I91" s="491"/>
    </row>
    <row r="92" spans="1:9" ht="14.4">
      <c r="A92" s="485"/>
      <c r="B92" s="486" t="s">
        <v>2742</v>
      </c>
      <c r="D92" s="1282" t="s">
        <v>1745</v>
      </c>
      <c r="E92" s="1282"/>
      <c r="F92" s="1282"/>
      <c r="I92" s="491"/>
    </row>
    <row r="93" spans="1:9" ht="14.4">
      <c r="A93" s="485"/>
      <c r="B93" s="485"/>
      <c r="D93" s="1282"/>
      <c r="E93" s="1282"/>
      <c r="F93" s="1282"/>
      <c r="I93" s="491"/>
    </row>
    <row r="94" spans="1:9" ht="14.4">
      <c r="A94" s="485"/>
      <c r="B94" s="485"/>
      <c r="D94" s="1282"/>
      <c r="E94" s="1282"/>
      <c r="F94" s="1282"/>
      <c r="I94" s="491"/>
    </row>
    <row r="95" spans="1:9" ht="14.4">
      <c r="A95" s="485"/>
      <c r="B95" s="485"/>
      <c r="D95" s="446"/>
      <c r="E95" s="446"/>
      <c r="F95" s="446"/>
      <c r="I95" s="491"/>
    </row>
    <row r="96" spans="1:9" ht="14.4">
      <c r="A96" s="485"/>
      <c r="B96" s="486" t="s">
        <v>2742</v>
      </c>
      <c r="D96" s="1282" t="s">
        <v>1744</v>
      </c>
      <c r="E96" s="1282"/>
      <c r="F96" s="1282"/>
      <c r="I96" s="491"/>
    </row>
    <row r="97" spans="1:9" s="988" customFormat="1" ht="14.4">
      <c r="A97" s="986"/>
      <c r="B97" s="986"/>
      <c r="C97" s="987"/>
      <c r="D97" s="1282"/>
      <c r="E97" s="1282"/>
      <c r="F97" s="1282"/>
      <c r="I97" s="1156"/>
    </row>
    <row r="98" spans="1:9" ht="14.4">
      <c r="A98" s="485"/>
      <c r="B98" s="485"/>
      <c r="D98" s="393"/>
      <c r="E98" s="313" t="s">
        <v>1924</v>
      </c>
      <c r="F98" s="446"/>
      <c r="I98" s="491"/>
    </row>
    <row r="99" spans="1:9" ht="14.4">
      <c r="A99" s="485"/>
      <c r="B99" s="485"/>
      <c r="D99" s="386"/>
      <c r="E99" s="386"/>
      <c r="F99" s="386"/>
      <c r="I99" s="491"/>
    </row>
    <row r="100" spans="1:9" ht="14.4">
      <c r="A100" s="485"/>
      <c r="B100" s="486" t="s">
        <v>2743</v>
      </c>
      <c r="D100" s="1282" t="s">
        <v>1743</v>
      </c>
      <c r="E100" s="1282"/>
      <c r="F100" s="1282"/>
      <c r="I100" s="491"/>
    </row>
    <row r="101" spans="1:9" ht="14.4">
      <c r="A101" s="485"/>
      <c r="B101" s="485"/>
      <c r="D101" s="1282"/>
      <c r="E101" s="1282"/>
      <c r="F101" s="1282"/>
      <c r="I101" s="491"/>
    </row>
    <row r="102" spans="1:9" ht="14.4">
      <c r="A102" s="485"/>
      <c r="B102" s="485"/>
      <c r="D102" s="446"/>
      <c r="E102" s="446"/>
      <c r="F102" s="446"/>
      <c r="I102" s="491"/>
    </row>
    <row r="103" spans="1:9" ht="14.55" customHeight="1">
      <c r="A103" s="485"/>
      <c r="B103" s="486" t="s">
        <v>2743</v>
      </c>
      <c r="D103" s="1282" t="s">
        <v>1194</v>
      </c>
      <c r="E103" s="1282"/>
      <c r="F103" s="1282"/>
      <c r="I103" s="491"/>
    </row>
    <row r="104" spans="1:9" ht="14.4">
      <c r="A104" s="485"/>
      <c r="B104" s="485"/>
      <c r="D104" s="1282"/>
      <c r="E104" s="1282"/>
      <c r="F104" s="1282"/>
      <c r="I104" s="491"/>
    </row>
    <row r="105" spans="1:9" ht="14.4">
      <c r="A105" s="485"/>
      <c r="B105" s="485"/>
      <c r="D105" s="1282"/>
      <c r="E105" s="1282"/>
      <c r="F105" s="1282"/>
      <c r="I105" s="491"/>
    </row>
    <row r="106" spans="1:9" ht="14.4">
      <c r="A106" s="485"/>
      <c r="B106" s="485"/>
      <c r="D106" s="1282"/>
      <c r="E106" s="1282"/>
      <c r="F106" s="1282"/>
      <c r="I106" s="491"/>
    </row>
    <row r="107" spans="1:9" ht="14.4">
      <c r="A107" s="485"/>
      <c r="B107" s="485"/>
      <c r="D107" s="1282"/>
      <c r="E107" s="1282"/>
      <c r="F107" s="1282"/>
      <c r="I107" s="491"/>
    </row>
    <row r="108" spans="1:9" ht="14.4">
      <c r="A108" s="485"/>
      <c r="B108" s="485"/>
      <c r="D108" s="1282"/>
      <c r="E108" s="1282"/>
      <c r="F108" s="1282"/>
      <c r="I108" s="491"/>
    </row>
    <row r="109" spans="1:9" ht="14.4">
      <c r="A109" s="485"/>
      <c r="B109" s="485"/>
      <c r="D109" s="1282"/>
      <c r="E109" s="1282"/>
      <c r="F109" s="1282"/>
      <c r="I109" s="491"/>
    </row>
    <row r="110" spans="1:9" ht="14.4">
      <c r="A110" s="485"/>
      <c r="B110" s="485"/>
      <c r="D110" s="1282"/>
      <c r="E110" s="1282"/>
      <c r="F110" s="1282"/>
      <c r="I110" s="491"/>
    </row>
    <row r="111" spans="1:9" ht="14.4">
      <c r="A111" s="485"/>
      <c r="B111" s="485"/>
      <c r="D111" s="1282"/>
      <c r="E111" s="1282"/>
      <c r="F111" s="1282"/>
      <c r="I111" s="491"/>
    </row>
    <row r="112" spans="1:9" ht="14.4">
      <c r="A112" s="485"/>
      <c r="B112" s="485"/>
      <c r="D112" s="1282"/>
      <c r="E112" s="1282"/>
      <c r="F112" s="1282"/>
      <c r="I112" s="491"/>
    </row>
    <row r="113" spans="1:9" ht="14.4">
      <c r="A113" s="485"/>
      <c r="B113" s="485"/>
      <c r="D113" s="1282"/>
      <c r="E113" s="1282"/>
      <c r="F113" s="1282"/>
      <c r="I113" s="491"/>
    </row>
    <row r="114" spans="1:9" ht="14.4">
      <c r="A114" s="485"/>
      <c r="B114" s="485"/>
      <c r="D114" s="1282"/>
      <c r="E114" s="1282"/>
      <c r="F114" s="1282"/>
      <c r="I114" s="491"/>
    </row>
    <row r="115" spans="1:9" ht="14.4">
      <c r="A115" s="485"/>
      <c r="B115" s="485"/>
      <c r="D115" s="1282"/>
      <c r="E115" s="1282"/>
      <c r="F115" s="1282"/>
      <c r="I115" s="491"/>
    </row>
    <row r="116" spans="1:9" ht="14.4">
      <c r="A116" s="485"/>
      <c r="B116" s="485"/>
      <c r="D116" s="1282"/>
      <c r="E116" s="1282"/>
      <c r="F116" s="1282"/>
      <c r="I116" s="491"/>
    </row>
    <row r="117" spans="1:9" ht="14.4">
      <c r="A117" s="485"/>
      <c r="B117" s="485"/>
      <c r="D117" s="1282"/>
      <c r="E117" s="1282"/>
      <c r="F117" s="1282"/>
      <c r="I117" s="491"/>
    </row>
    <row r="118" spans="1:9" ht="14.4">
      <c r="A118" s="485"/>
      <c r="B118" s="485"/>
      <c r="D118" s="525"/>
      <c r="E118" s="525"/>
      <c r="F118" s="525"/>
      <c r="I118" s="491"/>
    </row>
    <row r="119" spans="1:9" ht="14.25" customHeight="1">
      <c r="A119" s="485"/>
      <c r="B119" s="486" t="s">
        <v>2743</v>
      </c>
      <c r="D119" s="1302" t="s">
        <v>1103</v>
      </c>
      <c r="E119" s="1302"/>
      <c r="F119" s="1302"/>
      <c r="I119" s="491"/>
    </row>
    <row r="120" spans="1:9" ht="14.4">
      <c r="A120" s="485"/>
      <c r="B120" s="485"/>
      <c r="D120" s="1302"/>
      <c r="E120" s="1302"/>
      <c r="F120" s="1302"/>
      <c r="I120" s="491"/>
    </row>
    <row r="121" spans="1:9" ht="14.4">
      <c r="A121" s="485"/>
      <c r="B121" s="485"/>
      <c r="D121" s="1302"/>
      <c r="E121" s="1302"/>
      <c r="F121" s="1302"/>
      <c r="I121" s="491"/>
    </row>
    <row r="122" spans="1:9" ht="14.4">
      <c r="A122" s="485"/>
      <c r="B122" s="485"/>
      <c r="D122" s="1302"/>
      <c r="E122" s="1302"/>
      <c r="F122" s="1302"/>
      <c r="I122" s="491"/>
    </row>
    <row r="123" spans="1:9" ht="14.4">
      <c r="A123" s="485"/>
      <c r="B123" s="485"/>
      <c r="D123" s="1302"/>
      <c r="E123" s="1302"/>
      <c r="F123" s="1302"/>
      <c r="I123" s="491"/>
    </row>
    <row r="124" spans="1:9" ht="14.4">
      <c r="A124" s="485"/>
      <c r="B124" s="485"/>
      <c r="D124" s="1302"/>
      <c r="E124" s="1302"/>
      <c r="F124" s="1302"/>
      <c r="I124" s="491"/>
    </row>
    <row r="125" spans="1:9" ht="14.4">
      <c r="A125" s="485"/>
      <c r="B125" s="485"/>
      <c r="D125" s="1302"/>
      <c r="E125" s="1302"/>
      <c r="F125" s="1302"/>
      <c r="I125" s="491"/>
    </row>
    <row r="126" spans="1:9" ht="14.4">
      <c r="A126" s="485"/>
      <c r="B126" s="485"/>
      <c r="D126" s="1302"/>
      <c r="E126" s="1302"/>
      <c r="F126" s="1302"/>
      <c r="I126" s="491"/>
    </row>
    <row r="127" spans="1:9">
      <c r="C127" s="403"/>
      <c r="D127" s="526"/>
      <c r="E127" s="526"/>
      <c r="F127" s="526"/>
      <c r="I127" s="491"/>
    </row>
    <row r="128" spans="1:9" ht="14.4">
      <c r="A128" s="485"/>
      <c r="B128" s="486" t="s">
        <v>2742</v>
      </c>
      <c r="C128" s="403"/>
      <c r="D128" s="1302" t="s">
        <v>2051</v>
      </c>
      <c r="E128" s="1302"/>
      <c r="F128" s="1302"/>
      <c r="I128" s="491"/>
    </row>
    <row r="129" spans="1:9" ht="14.4">
      <c r="A129" s="485"/>
      <c r="B129" s="485"/>
      <c r="C129" s="403"/>
      <c r="D129" s="1302"/>
      <c r="E129" s="1302"/>
      <c r="F129" s="1302"/>
      <c r="I129" s="491"/>
    </row>
    <row r="130" spans="1:9">
      <c r="I130" s="491"/>
    </row>
    <row r="131" spans="1:9" ht="14.4">
      <c r="A131" s="485"/>
      <c r="B131" s="486" t="s">
        <v>2742</v>
      </c>
      <c r="D131" s="1282" t="s">
        <v>1104</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ht="14.4">
      <c r="A137" s="485"/>
      <c r="B137" s="486" t="s">
        <v>2742</v>
      </c>
      <c r="D137" s="1282" t="s">
        <v>1105</v>
      </c>
      <c r="E137" s="1282"/>
      <c r="F137" s="1282"/>
      <c r="I137" s="491"/>
    </row>
    <row r="138" spans="1:9" s="418" customFormat="1" ht="13.8" customHeight="1">
      <c r="A138" s="489"/>
      <c r="B138" s="489"/>
      <c r="C138" s="489"/>
      <c r="D138" s="1282"/>
      <c r="E138" s="1282"/>
      <c r="F138" s="1282"/>
      <c r="I138" s="1157"/>
    </row>
    <row r="139" spans="1:9" ht="13.8" customHeight="1">
      <c r="D139" s="1282"/>
      <c r="E139" s="1282"/>
      <c r="F139" s="1282"/>
      <c r="I139" s="491"/>
    </row>
    <row r="140" spans="1:9" ht="13.8" customHeight="1">
      <c r="D140" s="1282"/>
      <c r="E140" s="1282"/>
      <c r="F140" s="1282"/>
      <c r="I140" s="491"/>
    </row>
    <row r="141" spans="1:9" ht="13.8" customHeight="1">
      <c r="D141" s="1282"/>
      <c r="E141" s="1282"/>
      <c r="F141" s="1282"/>
      <c r="I141" s="491"/>
    </row>
    <row r="142" spans="1:9" ht="13.8" customHeight="1">
      <c r="A142" s="490"/>
      <c r="B142" s="490"/>
      <c r="D142" s="1282"/>
      <c r="E142" s="1282"/>
      <c r="F142" s="1282"/>
      <c r="I142" s="491"/>
    </row>
    <row r="143" spans="1:9" ht="13.8" customHeight="1">
      <c r="D143" s="1282"/>
      <c r="E143" s="1282"/>
      <c r="F143" s="1282"/>
      <c r="I143" s="491"/>
    </row>
    <row r="144" spans="1:9" ht="13.8" customHeight="1">
      <c r="D144" s="1282"/>
      <c r="E144" s="1282"/>
      <c r="F144" s="1282"/>
      <c r="I144" s="491"/>
    </row>
    <row r="145" spans="2:9" ht="13.8" customHeight="1">
      <c r="D145" s="1282"/>
      <c r="E145" s="1282"/>
      <c r="F145" s="1282"/>
      <c r="I145" s="491"/>
    </row>
    <row r="146" spans="2:9" ht="13.8" customHeight="1">
      <c r="D146" s="1282"/>
      <c r="E146" s="1282"/>
      <c r="F146" s="1282"/>
      <c r="I146" s="491"/>
    </row>
    <row r="147" spans="2:9" ht="13.8" customHeight="1">
      <c r="D147" s="1282"/>
      <c r="E147" s="1282"/>
      <c r="F147" s="1282"/>
      <c r="I147" s="491"/>
    </row>
    <row r="148" spans="2:9" ht="13.8" customHeight="1">
      <c r="D148" s="1282"/>
      <c r="E148" s="1282"/>
      <c r="F148" s="1282"/>
      <c r="I148" s="491"/>
    </row>
    <row r="149" spans="2:9" ht="13.8" customHeight="1">
      <c r="D149" s="1282"/>
      <c r="E149" s="1282"/>
      <c r="F149" s="1282"/>
      <c r="I149" s="491"/>
    </row>
    <row r="150" spans="2:9" ht="13.8" customHeight="1">
      <c r="D150" s="477"/>
      <c r="E150" s="447"/>
      <c r="F150" s="447"/>
      <c r="I150" s="491"/>
    </row>
    <row r="151" spans="2:9" ht="13.8" customHeight="1">
      <c r="B151" s="486" t="s">
        <v>2743</v>
      </c>
      <c r="D151" s="1282" t="s">
        <v>1177</v>
      </c>
      <c r="E151" s="1282"/>
      <c r="F151" s="1282"/>
      <c r="I151" s="491"/>
    </row>
    <row r="152" spans="2:9" ht="13.8" customHeight="1">
      <c r="D152" s="1282"/>
      <c r="E152" s="1282"/>
      <c r="F152" s="1282"/>
      <c r="I152" s="491"/>
    </row>
    <row r="153" spans="2:9" ht="13.8" customHeight="1">
      <c r="D153" s="1282"/>
      <c r="E153" s="1282"/>
      <c r="F153" s="1282"/>
      <c r="I153" s="491"/>
    </row>
    <row r="154" spans="2:9" ht="13.8" customHeight="1">
      <c r="D154" s="1282"/>
      <c r="E154" s="1282"/>
      <c r="F154" s="1282"/>
      <c r="I154" s="491"/>
    </row>
    <row r="155" spans="2:9" ht="13.8" customHeight="1">
      <c r="D155" s="1282"/>
      <c r="E155" s="1282"/>
      <c r="F155" s="1282"/>
      <c r="I155" s="491"/>
    </row>
    <row r="156" spans="2:9" ht="13.8" customHeight="1">
      <c r="D156" s="1282"/>
      <c r="E156" s="1282"/>
      <c r="F156" s="1282"/>
      <c r="I156" s="491"/>
    </row>
    <row r="157" spans="2:9" ht="13.8" customHeight="1">
      <c r="D157" s="1282"/>
      <c r="E157" s="1282"/>
      <c r="F157" s="1282"/>
      <c r="I157" s="491"/>
    </row>
    <row r="158" spans="2:9" ht="13.8" customHeight="1">
      <c r="D158" s="1282"/>
      <c r="E158" s="1282"/>
      <c r="F158" s="1282"/>
      <c r="I158" s="491"/>
    </row>
    <row r="159" spans="2:9" ht="13.8" customHeight="1">
      <c r="D159" s="1282"/>
      <c r="E159" s="1282"/>
      <c r="F159" s="1282"/>
      <c r="I159" s="491"/>
    </row>
    <row r="160" spans="2:9" ht="13.8" customHeight="1">
      <c r="D160" s="1282"/>
      <c r="E160" s="1282"/>
      <c r="F160" s="1282"/>
      <c r="I160" s="491"/>
    </row>
    <row r="161" spans="1:9" ht="13.8" customHeight="1">
      <c r="D161" s="1282"/>
      <c r="E161" s="1282"/>
      <c r="F161" s="1282"/>
      <c r="I161" s="491"/>
    </row>
    <row r="162" spans="1:9" ht="13.8" customHeight="1">
      <c r="D162" s="1282"/>
      <c r="E162" s="1282"/>
      <c r="F162" s="1282"/>
      <c r="I162" s="491"/>
    </row>
    <row r="163" spans="1:9" ht="13.8" customHeight="1">
      <c r="D163" s="1282"/>
      <c r="E163" s="1282"/>
      <c r="F163" s="1282"/>
      <c r="I163" s="491"/>
    </row>
    <row r="164" spans="1:9" ht="13.8" customHeight="1">
      <c r="D164" s="1282"/>
      <c r="E164" s="1282"/>
      <c r="F164" s="1282"/>
      <c r="I164" s="491"/>
    </row>
    <row r="165" spans="1:9" ht="13.8" customHeight="1">
      <c r="D165" s="1282"/>
      <c r="E165" s="1282"/>
      <c r="F165" s="1282"/>
      <c r="I165" s="491"/>
    </row>
    <row r="166" spans="1:9" ht="13.8" customHeight="1">
      <c r="D166" s="1282"/>
      <c r="E166" s="1282"/>
      <c r="F166" s="1282"/>
      <c r="I166" s="491"/>
    </row>
    <row r="167" spans="1:9" ht="13.8" customHeight="1">
      <c r="D167" s="1282"/>
      <c r="E167" s="1282"/>
      <c r="F167" s="1282"/>
      <c r="I167" s="491"/>
    </row>
    <row r="168" spans="1:9" ht="13.8" customHeight="1">
      <c r="D168" s="1282"/>
      <c r="E168" s="1282"/>
      <c r="F168" s="1282"/>
      <c r="I168" s="491"/>
    </row>
    <row r="169" spans="1:9" ht="13.8" customHeight="1">
      <c r="D169" s="1303" t="s">
        <v>2074</v>
      </c>
      <c r="E169" s="1303"/>
      <c r="F169" s="1303"/>
      <c r="G169" s="508"/>
      <c r="I169" s="491"/>
    </row>
    <row r="170" spans="1:9" ht="13.8" customHeight="1">
      <c r="D170" s="1294"/>
      <c r="E170" s="1294"/>
      <c r="F170" s="1294"/>
      <c r="G170" s="1294"/>
      <c r="I170" s="491"/>
    </row>
    <row r="171" spans="1:9" ht="14.55" customHeight="1">
      <c r="A171" s="490"/>
      <c r="B171" s="486" t="s">
        <v>2743</v>
      </c>
      <c r="C171" s="477"/>
      <c r="D171" s="1262" t="s">
        <v>2214</v>
      </c>
      <c r="E171" s="1262"/>
      <c r="F171" s="1262"/>
      <c r="G171" s="477"/>
      <c r="I171" s="491"/>
    </row>
    <row r="172" spans="1:9" ht="14.55" customHeight="1">
      <c r="A172" s="490"/>
      <c r="B172" s="490"/>
      <c r="C172" s="477"/>
      <c r="D172" s="1262"/>
      <c r="E172" s="1262"/>
      <c r="F172" s="1262"/>
      <c r="G172" s="477"/>
      <c r="I172" s="491"/>
    </row>
    <row r="173" spans="1:9" ht="14.55" customHeight="1">
      <c r="A173" s="490"/>
      <c r="B173" s="490"/>
      <c r="C173" s="477"/>
      <c r="D173" s="1262"/>
      <c r="E173" s="1262"/>
      <c r="F173" s="1262"/>
      <c r="G173" s="477"/>
      <c r="I173" s="491"/>
    </row>
    <row r="174" spans="1:9" ht="14.55" customHeight="1">
      <c r="A174" s="490"/>
      <c r="B174" s="490"/>
      <c r="C174" s="477"/>
      <c r="D174" s="1262"/>
      <c r="E174" s="1262"/>
      <c r="F174" s="1262"/>
      <c r="G174" s="477"/>
      <c r="I174" s="491"/>
    </row>
    <row r="175" spans="1:9" ht="13.8" customHeight="1">
      <c r="A175" s="490"/>
      <c r="B175" s="490"/>
      <c r="C175" s="477"/>
      <c r="D175" s="1262"/>
      <c r="E175" s="1262"/>
      <c r="F175" s="1262"/>
      <c r="G175" s="477"/>
      <c r="I175" s="491"/>
    </row>
    <row r="176" spans="1:9" ht="13.8" customHeight="1">
      <c r="A176" s="490"/>
      <c r="B176" s="490"/>
      <c r="C176" s="477"/>
      <c r="D176" s="477"/>
      <c r="E176" s="477"/>
      <c r="F176" s="477"/>
      <c r="G176" s="477"/>
      <c r="I176" s="491"/>
    </row>
    <row r="177" spans="1:9" ht="13.8" customHeight="1">
      <c r="A177" s="490"/>
      <c r="B177" s="486" t="s">
        <v>2743</v>
      </c>
      <c r="C177" s="477"/>
      <c r="D177" s="1262" t="s">
        <v>1106</v>
      </c>
      <c r="E177" s="1262"/>
      <c r="F177" s="1262"/>
      <c r="G177" s="477"/>
      <c r="I177" s="491"/>
    </row>
    <row r="178" spans="1:9" ht="13.8" customHeight="1">
      <c r="A178" s="490"/>
      <c r="B178" s="490"/>
      <c r="C178" s="477"/>
      <c r="D178" s="1262"/>
      <c r="E178" s="1262"/>
      <c r="F178" s="1262"/>
      <c r="G178" s="477"/>
      <c r="I178" s="491"/>
    </row>
    <row r="179" spans="1:9" ht="13.8" customHeight="1">
      <c r="A179" s="490"/>
      <c r="B179" s="490"/>
      <c r="C179" s="477"/>
      <c r="D179" s="1262"/>
      <c r="E179" s="1262"/>
      <c r="F179" s="1262"/>
      <c r="G179" s="477"/>
      <c r="I179" s="491"/>
    </row>
    <row r="180" spans="1:9" ht="13.8" customHeight="1">
      <c r="A180" s="490"/>
      <c r="B180" s="490"/>
      <c r="C180" s="477"/>
      <c r="D180" s="1262"/>
      <c r="E180" s="1262"/>
      <c r="F180" s="1262"/>
      <c r="G180" s="477"/>
      <c r="I180" s="491"/>
    </row>
    <row r="181" spans="1:9" ht="13.8" customHeight="1">
      <c r="D181" s="447"/>
      <c r="E181" s="447"/>
      <c r="F181" s="447"/>
      <c r="I181" s="491"/>
    </row>
    <row r="182" spans="1:9" ht="13.8" customHeight="1">
      <c r="B182" s="486" t="s">
        <v>2743</v>
      </c>
      <c r="D182" s="1286" t="s">
        <v>2052</v>
      </c>
      <c r="E182" s="1286"/>
      <c r="F182" s="1286"/>
      <c r="I182" s="491"/>
    </row>
    <row r="183" spans="1:9" ht="13.8" customHeight="1">
      <c r="D183" s="1286"/>
      <c r="E183" s="1286"/>
      <c r="F183" s="1286"/>
      <c r="I183" s="491"/>
    </row>
    <row r="184" spans="1:9" ht="13.8" customHeight="1">
      <c r="D184" s="1286"/>
      <c r="E184" s="1286"/>
      <c r="F184" s="1286"/>
      <c r="I184" s="491"/>
    </row>
    <row r="185" spans="1:9" ht="13.8" customHeight="1">
      <c r="A185" s="491"/>
      <c r="B185" s="491"/>
      <c r="E185" s="447"/>
      <c r="F185" s="447"/>
      <c r="I185" s="491"/>
    </row>
    <row r="186" spans="1:9">
      <c r="A186" s="1285" t="s">
        <v>2053</v>
      </c>
      <c r="B186" s="1285"/>
      <c r="C186" s="1285"/>
      <c r="D186" s="1285"/>
      <c r="E186" s="1285"/>
      <c r="F186" s="1285"/>
      <c r="G186" s="1285"/>
      <c r="H186" s="1029"/>
      <c r="I186" s="1155"/>
    </row>
    <row r="187" spans="1:9" ht="12" customHeight="1">
      <c r="D187" s="447"/>
      <c r="E187" s="447"/>
      <c r="F187" s="447"/>
      <c r="I187" s="491"/>
    </row>
    <row r="188" spans="1:9">
      <c r="B188" s="1288" t="s">
        <v>446</v>
      </c>
      <c r="C188" s="1288"/>
      <c r="D188" s="1288"/>
      <c r="E188" s="1288"/>
      <c r="F188" s="1288"/>
      <c r="I188" s="491"/>
    </row>
    <row r="189" spans="1:9">
      <c r="B189" s="393" t="s">
        <v>1875</v>
      </c>
      <c r="C189" s="393"/>
      <c r="D189" s="393"/>
      <c r="E189" s="393"/>
      <c r="F189" s="393"/>
      <c r="I189" s="491"/>
    </row>
    <row r="190" spans="1:9" ht="12" customHeight="1">
      <c r="A190" s="483"/>
      <c r="B190" s="483"/>
      <c r="C190" s="483"/>
      <c r="I190" s="491"/>
    </row>
    <row r="191" spans="1:9">
      <c r="A191" s="1285" t="s">
        <v>1045</v>
      </c>
      <c r="B191" s="1285"/>
      <c r="C191" s="1285"/>
      <c r="D191" s="1285"/>
      <c r="E191" s="1285"/>
      <c r="F191" s="1285"/>
      <c r="G191" s="1285"/>
      <c r="H191" s="1029"/>
      <c r="I191" s="1155"/>
    </row>
    <row r="192" spans="1:9" ht="12" customHeight="1">
      <c r="A192" s="405"/>
      <c r="B192" s="405"/>
      <c r="E192" s="405"/>
      <c r="I192" s="491"/>
    </row>
    <row r="193" spans="1:9" ht="13.8" customHeight="1">
      <c r="A193" s="405"/>
      <c r="B193" s="405"/>
      <c r="D193" s="1284" t="s">
        <v>1746</v>
      </c>
      <c r="E193" s="1284"/>
      <c r="F193" s="1284"/>
      <c r="I193" s="491"/>
    </row>
    <row r="194" spans="1:9">
      <c r="A194" s="405"/>
      <c r="B194" s="405"/>
      <c r="D194" s="1284"/>
      <c r="E194" s="1284"/>
      <c r="F194" s="1284"/>
      <c r="I194" s="491"/>
    </row>
    <row r="195" spans="1:9">
      <c r="A195" s="405"/>
      <c r="B195" s="405"/>
      <c r="D195" s="1288" t="s">
        <v>1195</v>
      </c>
      <c r="E195" s="1288"/>
      <c r="F195" s="1288"/>
      <c r="I195" s="491"/>
    </row>
    <row r="196" spans="1:9">
      <c r="A196" s="405"/>
      <c r="B196" s="405"/>
      <c r="D196" s="393"/>
      <c r="E196" s="393"/>
      <c r="F196" s="393"/>
      <c r="I196" s="491"/>
    </row>
    <row r="197" spans="1:9">
      <c r="A197" s="405"/>
      <c r="B197" s="486" t="s">
        <v>2743</v>
      </c>
      <c r="D197" s="1299" t="s">
        <v>1747</v>
      </c>
      <c r="E197" s="1299"/>
      <c r="F197" s="1299"/>
      <c r="I197" s="491"/>
    </row>
    <row r="198" spans="1:9">
      <c r="A198" s="405"/>
      <c r="B198" s="405"/>
      <c r="D198" s="1300" t="s">
        <v>1902</v>
      </c>
      <c r="E198" s="1300"/>
      <c r="F198" s="1300"/>
      <c r="I198" s="491"/>
    </row>
    <row r="199" spans="1:9">
      <c r="A199" s="405"/>
      <c r="B199" s="405"/>
      <c r="D199" s="96" t="s">
        <v>1748</v>
      </c>
      <c r="E199" s="1301" t="s">
        <v>1925</v>
      </c>
      <c r="F199" s="1301"/>
      <c r="I199" s="491"/>
    </row>
    <row r="200" spans="1:9">
      <c r="A200" s="405"/>
      <c r="B200" s="405"/>
      <c r="D200" s="3"/>
      <c r="E200" s="3"/>
      <c r="F200" s="3"/>
      <c r="I200" s="491"/>
    </row>
    <row r="201" spans="1:9">
      <c r="A201" s="405"/>
      <c r="B201" s="486" t="s">
        <v>2743</v>
      </c>
      <c r="D201" s="1300" t="s">
        <v>1749</v>
      </c>
      <c r="E201" s="1300"/>
      <c r="F201" s="1300"/>
      <c r="I201" s="491"/>
    </row>
    <row r="202" spans="1:9">
      <c r="A202" s="405"/>
      <c r="B202" s="405"/>
      <c r="D202" s="1299" t="s">
        <v>1902</v>
      </c>
      <c r="E202" s="1299"/>
      <c r="F202" s="1299"/>
      <c r="I202" s="491"/>
    </row>
    <row r="203" spans="1:9">
      <c r="A203" s="405"/>
      <c r="B203" s="405"/>
      <c r="D203" s="57" t="s">
        <v>1750</v>
      </c>
      <c r="E203" s="1301" t="s">
        <v>1926</v>
      </c>
      <c r="F203" s="1301"/>
      <c r="I203" s="491"/>
    </row>
    <row r="204" spans="1:9">
      <c r="A204" s="405"/>
      <c r="B204" s="405"/>
      <c r="D204" s="3"/>
      <c r="E204" s="3"/>
      <c r="F204" s="3"/>
      <c r="I204" s="491"/>
    </row>
    <row r="205" spans="1:9">
      <c r="A205" s="405"/>
      <c r="B205" s="486" t="s">
        <v>2743</v>
      </c>
      <c r="D205" s="1300" t="s">
        <v>1751</v>
      </c>
      <c r="E205" s="1300"/>
      <c r="F205" s="1300"/>
      <c r="I205" s="491"/>
    </row>
    <row r="206" spans="1:9">
      <c r="A206" s="405"/>
      <c r="B206" s="405"/>
      <c r="D206" s="1299" t="s">
        <v>1902</v>
      </c>
      <c r="E206" s="1299"/>
      <c r="F206" s="1299"/>
      <c r="I206" s="491"/>
    </row>
    <row r="207" spans="1:9">
      <c r="A207" s="405"/>
      <c r="B207" s="405"/>
      <c r="D207" s="57" t="s">
        <v>1748</v>
      </c>
      <c r="E207" s="1301" t="s">
        <v>1927</v>
      </c>
      <c r="F207" s="1301"/>
      <c r="I207" s="491"/>
    </row>
    <row r="208" spans="1:9">
      <c r="A208" s="405"/>
      <c r="B208" s="405"/>
      <c r="D208" s="393"/>
      <c r="E208" s="393"/>
      <c r="F208" s="393"/>
      <c r="I208" s="491"/>
    </row>
    <row r="209" spans="1:9" ht="14.25" customHeight="1">
      <c r="A209" s="485"/>
      <c r="B209" s="486" t="s">
        <v>2743</v>
      </c>
      <c r="D209" s="387" t="s">
        <v>1895</v>
      </c>
      <c r="E209" s="386"/>
      <c r="F209" s="386"/>
      <c r="I209" s="491"/>
    </row>
    <row r="210" spans="1:9" ht="14.4">
      <c r="A210" s="485"/>
      <c r="B210" s="485"/>
      <c r="D210" s="1299" t="s">
        <v>1902</v>
      </c>
      <c r="E210" s="1299"/>
      <c r="F210" s="1299"/>
      <c r="I210" s="491"/>
    </row>
    <row r="211" spans="1:9">
      <c r="D211" s="386"/>
      <c r="E211" s="1301" t="s">
        <v>1928</v>
      </c>
      <c r="F211" s="1301"/>
      <c r="I211" s="491"/>
    </row>
    <row r="212" spans="1:9">
      <c r="D212" s="448"/>
      <c r="I212" s="491"/>
    </row>
    <row r="213" spans="1:9">
      <c r="B213" s="486" t="s">
        <v>2743</v>
      </c>
      <c r="D213" s="1300" t="s">
        <v>1752</v>
      </c>
      <c r="E213" s="1300"/>
      <c r="F213" s="1300"/>
      <c r="I213" s="491"/>
    </row>
    <row r="214" spans="1:9">
      <c r="D214" s="1299" t="s">
        <v>1902</v>
      </c>
      <c r="E214" s="1299"/>
      <c r="F214" s="1299"/>
      <c r="I214" s="491"/>
    </row>
    <row r="215" spans="1:9">
      <c r="D215" s="57" t="s">
        <v>1748</v>
      </c>
      <c r="E215" s="1301" t="s">
        <v>1929</v>
      </c>
      <c r="F215" s="1301"/>
      <c r="I215" s="491"/>
    </row>
    <row r="216" spans="1:9">
      <c r="D216" s="452"/>
      <c r="E216" s="452"/>
      <c r="F216" s="452"/>
      <c r="I216" s="491"/>
    </row>
    <row r="217" spans="1:9" ht="14.4">
      <c r="A217" s="485"/>
      <c r="B217" s="486" t="s">
        <v>2743</v>
      </c>
      <c r="D217" s="1282" t="s">
        <v>1216</v>
      </c>
      <c r="E217" s="1282"/>
      <c r="F217" s="1282"/>
      <c r="I217" s="491"/>
    </row>
    <row r="218" spans="1:9" ht="14.55" customHeight="1">
      <c r="A218" s="485"/>
      <c r="B218" s="403"/>
      <c r="D218" s="1282"/>
      <c r="E218" s="1282"/>
      <c r="F218" s="1282"/>
      <c r="I218" s="491"/>
    </row>
    <row r="219" spans="1:9" ht="14.4">
      <c r="A219" s="485"/>
      <c r="D219" s="1282"/>
      <c r="E219" s="1282"/>
      <c r="F219" s="1282"/>
      <c r="I219" s="491"/>
    </row>
    <row r="220" spans="1:9" ht="14.4">
      <c r="A220" s="485"/>
      <c r="D220" s="1282"/>
      <c r="E220" s="1282"/>
      <c r="F220" s="1282"/>
      <c r="I220" s="491"/>
    </row>
    <row r="221" spans="1:9">
      <c r="D221" s="452"/>
      <c r="E221" s="452"/>
      <c r="F221" s="452"/>
      <c r="I221" s="491"/>
    </row>
    <row r="222" spans="1:9">
      <c r="A222" s="1285" t="s">
        <v>1046</v>
      </c>
      <c r="B222" s="1285"/>
      <c r="C222" s="1285"/>
      <c r="D222" s="1285"/>
      <c r="E222" s="1285"/>
      <c r="F222" s="1285"/>
      <c r="G222" s="1285"/>
      <c r="H222" s="1029"/>
      <c r="I222" s="1155"/>
    </row>
    <row r="223" spans="1:9" ht="12" customHeight="1">
      <c r="D223" s="447"/>
      <c r="E223" s="447"/>
      <c r="F223" s="447"/>
      <c r="I223" s="491"/>
    </row>
    <row r="224" spans="1:9">
      <c r="C224" s="487"/>
      <c r="D224" s="1290" t="s">
        <v>207</v>
      </c>
      <c r="E224" s="1290"/>
      <c r="F224" s="1290"/>
      <c r="I224" s="491"/>
    </row>
    <row r="225" spans="1:9">
      <c r="A225" s="483"/>
      <c r="B225" s="483"/>
      <c r="C225" s="483"/>
      <c r="D225" s="1283" t="s">
        <v>1120</v>
      </c>
      <c r="E225" s="1283"/>
      <c r="F225" s="1283"/>
      <c r="I225" s="491"/>
    </row>
    <row r="226" spans="1:9" ht="12" customHeight="1">
      <c r="A226" s="491"/>
      <c r="B226" s="491"/>
      <c r="C226" s="491"/>
      <c r="I226" s="491"/>
    </row>
    <row r="227" spans="1:9" ht="13.8" customHeight="1">
      <c r="A227" s="491"/>
      <c r="C227" s="491"/>
      <c r="D227" s="1290" t="s">
        <v>546</v>
      </c>
      <c r="E227" s="1290"/>
      <c r="F227" s="1290"/>
      <c r="I227" s="491"/>
    </row>
    <row r="228" spans="1:9" ht="14.4">
      <c r="A228" s="485"/>
      <c r="B228" s="486" t="s">
        <v>2742</v>
      </c>
      <c r="D228" s="1282" t="s">
        <v>1753</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ht="14.4">
      <c r="A231" s="485"/>
      <c r="B231" s="485"/>
      <c r="D231" s="1282"/>
      <c r="E231" s="1282"/>
      <c r="F231" s="1282"/>
      <c r="I231" s="491"/>
    </row>
    <row r="232" spans="1:9" ht="14.4">
      <c r="A232" s="485"/>
      <c r="B232" s="485"/>
      <c r="D232" s="446"/>
      <c r="E232" s="446"/>
      <c r="F232" s="446"/>
      <c r="I232" s="491"/>
    </row>
    <row r="233" spans="1:9" ht="14.4">
      <c r="A233" s="485"/>
      <c r="B233" s="486" t="s">
        <v>2742</v>
      </c>
      <c r="D233" s="1282" t="s">
        <v>1754</v>
      </c>
      <c r="E233" s="1282"/>
      <c r="F233" s="1282"/>
      <c r="I233" s="491"/>
    </row>
    <row r="234" spans="1:9" ht="14.4">
      <c r="A234" s="485"/>
      <c r="B234" s="485"/>
      <c r="D234" s="1282"/>
      <c r="E234" s="1282"/>
      <c r="F234" s="1282"/>
      <c r="I234" s="491"/>
    </row>
    <row r="235" spans="1:9" ht="14.4">
      <c r="A235" s="485"/>
      <c r="B235" s="485"/>
      <c r="D235" s="1282"/>
      <c r="E235" s="1282"/>
      <c r="F235" s="1282"/>
      <c r="I235" s="491"/>
    </row>
    <row r="236" spans="1:9" ht="14.4">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ht="14.4">
      <c r="A239" s="485"/>
      <c r="B239" s="485"/>
      <c r="D239" s="1282" t="s">
        <v>1118</v>
      </c>
      <c r="E239" s="1282"/>
      <c r="F239" s="1282"/>
      <c r="I239" s="491"/>
    </row>
    <row r="240" spans="1:9" ht="14.4">
      <c r="A240" s="485"/>
      <c r="B240" s="485"/>
      <c r="D240" s="1282"/>
      <c r="E240" s="1282"/>
      <c r="F240" s="1282"/>
      <c r="I240" s="491"/>
    </row>
    <row r="241" spans="1:9" ht="14.4">
      <c r="A241" s="485"/>
      <c r="B241" s="485"/>
      <c r="D241" s="1282"/>
      <c r="E241" s="1282"/>
      <c r="F241" s="1282"/>
      <c r="I241" s="491"/>
    </row>
    <row r="242" spans="1:9" ht="14.4">
      <c r="A242" s="485"/>
      <c r="B242" s="485"/>
      <c r="D242" s="1282"/>
      <c r="E242" s="1282"/>
      <c r="F242" s="1282"/>
      <c r="I242" s="491"/>
    </row>
    <row r="243" spans="1:9" ht="14.4">
      <c r="A243" s="485"/>
      <c r="B243" s="485"/>
      <c r="D243" s="1282"/>
      <c r="E243" s="1282"/>
      <c r="F243" s="1282"/>
      <c r="I243" s="491"/>
    </row>
    <row r="244" spans="1:9" ht="14.4">
      <c r="A244" s="485"/>
      <c r="B244" s="485"/>
      <c r="D244" s="447"/>
      <c r="E244" s="447"/>
      <c r="F244" s="447"/>
      <c r="I244" s="491"/>
    </row>
    <row r="245" spans="1:9" ht="14.4">
      <c r="A245" s="485"/>
      <c r="B245" s="486" t="s">
        <v>2742</v>
      </c>
      <c r="D245" s="1282" t="s">
        <v>2054</v>
      </c>
      <c r="E245" s="1282"/>
      <c r="F245" s="1282"/>
      <c r="I245" s="491"/>
    </row>
    <row r="246" spans="1:9" ht="14.4">
      <c r="A246" s="485"/>
      <c r="B246" s="485"/>
      <c r="D246" s="1282"/>
      <c r="E246" s="1282"/>
      <c r="F246" s="1282"/>
      <c r="I246" s="491"/>
    </row>
    <row r="247" spans="1:9" ht="14.4">
      <c r="A247" s="485"/>
      <c r="B247" s="485"/>
      <c r="D247" s="1282"/>
      <c r="E247" s="1282"/>
      <c r="F247" s="1282"/>
      <c r="I247" s="491"/>
    </row>
    <row r="248" spans="1:9" ht="14.4">
      <c r="A248" s="485"/>
      <c r="B248" s="485"/>
      <c r="E248" s="1037" t="s">
        <v>1896</v>
      </c>
      <c r="I248" s="491"/>
    </row>
    <row r="249" spans="1:9" ht="14.4">
      <c r="A249" s="485"/>
      <c r="B249" s="485"/>
      <c r="D249" s="447"/>
      <c r="E249" s="447"/>
      <c r="F249" s="447"/>
      <c r="I249" s="491"/>
    </row>
    <row r="250" spans="1:9" ht="14.55" customHeight="1">
      <c r="A250" s="485"/>
      <c r="B250" s="486" t="s">
        <v>2743</v>
      </c>
      <c r="D250" s="1282" t="s">
        <v>2055</v>
      </c>
      <c r="E250" s="1282"/>
      <c r="F250" s="1282"/>
      <c r="I250" s="491"/>
    </row>
    <row r="251" spans="1:9" ht="14.4">
      <c r="A251" s="485"/>
      <c r="B251" s="485"/>
      <c r="D251" s="1282"/>
      <c r="E251" s="1282"/>
      <c r="F251" s="1282"/>
      <c r="I251" s="491"/>
    </row>
    <row r="252" spans="1:9" ht="14.4">
      <c r="A252" s="485"/>
      <c r="B252" s="485"/>
      <c r="D252" s="1282"/>
      <c r="E252" s="1282"/>
      <c r="F252" s="1282"/>
      <c r="I252" s="491"/>
    </row>
    <row r="253" spans="1:9" ht="14.4">
      <c r="A253" s="485"/>
      <c r="B253" s="485"/>
      <c r="D253" s="1282"/>
      <c r="E253" s="1282"/>
      <c r="F253" s="1282"/>
      <c r="I253" s="491"/>
    </row>
    <row r="254" spans="1:9" ht="14.4">
      <c r="A254" s="485"/>
      <c r="B254" s="485"/>
      <c r="D254" s="1282"/>
      <c r="E254" s="1282"/>
      <c r="F254" s="1282"/>
      <c r="I254" s="491"/>
    </row>
    <row r="255" spans="1:9" ht="14.4">
      <c r="A255" s="485"/>
      <c r="B255" s="485"/>
      <c r="D255" s="446"/>
      <c r="E255" s="446"/>
      <c r="F255" s="446"/>
      <c r="I255" s="491"/>
    </row>
    <row r="256" spans="1:9" ht="14.4">
      <c r="A256" s="485"/>
      <c r="B256" s="486" t="s">
        <v>2742</v>
      </c>
      <c r="D256" s="393" t="s">
        <v>2056</v>
      </c>
      <c r="E256" s="446"/>
      <c r="F256" s="446"/>
      <c r="I256" s="491"/>
    </row>
    <row r="257" spans="1:9" ht="14.4">
      <c r="A257" s="485"/>
      <c r="B257" s="485"/>
      <c r="E257" s="1037" t="s">
        <v>1897</v>
      </c>
      <c r="I257" s="491"/>
    </row>
    <row r="258" spans="1:9">
      <c r="D258" s="447"/>
      <c r="E258" s="447"/>
      <c r="F258" s="447"/>
      <c r="I258" s="491"/>
    </row>
    <row r="259" spans="1:9" ht="14.4">
      <c r="A259" s="485"/>
      <c r="B259" s="486" t="s">
        <v>2742</v>
      </c>
      <c r="D259" s="1282" t="s">
        <v>1119</v>
      </c>
      <c r="E259" s="1282"/>
      <c r="F259" s="1282"/>
      <c r="I259" s="491"/>
    </row>
    <row r="260" spans="1:9" ht="14.4">
      <c r="A260" s="485"/>
      <c r="B260" s="485"/>
      <c r="D260" s="1282"/>
      <c r="E260" s="1282"/>
      <c r="F260" s="1282"/>
      <c r="I260" s="491"/>
    </row>
    <row r="261" spans="1:9">
      <c r="D261" s="492"/>
      <c r="I261" s="491"/>
    </row>
    <row r="262" spans="1:9">
      <c r="A262" s="1285" t="s">
        <v>1047</v>
      </c>
      <c r="B262" s="1285"/>
      <c r="C262" s="1285"/>
      <c r="D262" s="1285"/>
      <c r="E262" s="1285"/>
      <c r="F262" s="1285"/>
      <c r="G262" s="1285"/>
      <c r="H262" s="1029"/>
      <c r="I262" s="1155"/>
    </row>
    <row r="263" spans="1:9">
      <c r="D263" s="492"/>
      <c r="I263" s="491"/>
    </row>
    <row r="264" spans="1:9">
      <c r="C264" s="487"/>
      <c r="D264" s="1290" t="s">
        <v>1121</v>
      </c>
      <c r="E264" s="1290"/>
      <c r="F264" s="1290"/>
      <c r="I264" s="491"/>
    </row>
    <row r="265" spans="1:9">
      <c r="A265" s="483"/>
      <c r="B265" s="483"/>
      <c r="C265" s="483"/>
      <c r="D265" s="447"/>
      <c r="E265" s="447"/>
      <c r="F265" s="447"/>
      <c r="I265" s="491"/>
    </row>
    <row r="266" spans="1:9">
      <c r="A266" s="484"/>
      <c r="B266" s="484"/>
      <c r="C266" s="484"/>
      <c r="D266" s="1290" t="s">
        <v>268</v>
      </c>
      <c r="E266" s="1290"/>
      <c r="F266" s="1290"/>
      <c r="I266" s="491"/>
    </row>
    <row r="267" spans="1:9" ht="14.55" customHeight="1">
      <c r="A267" s="485"/>
      <c r="B267" s="486" t="s">
        <v>2742</v>
      </c>
      <c r="D267" s="1282" t="s">
        <v>1196</v>
      </c>
      <c r="E267" s="1282"/>
      <c r="F267" s="1282"/>
      <c r="I267" s="491"/>
    </row>
    <row r="268" spans="1:9">
      <c r="D268" s="1282"/>
      <c r="E268" s="1282"/>
      <c r="F268" s="1282"/>
      <c r="I268" s="491"/>
    </row>
    <row r="269" spans="1:9">
      <c r="E269" s="1037" t="s">
        <v>1898</v>
      </c>
      <c r="I269" s="491"/>
    </row>
    <row r="270" spans="1:9">
      <c r="D270" s="447"/>
      <c r="E270" s="447"/>
      <c r="F270" s="447"/>
      <c r="I270" s="491"/>
    </row>
    <row r="271" spans="1:9" ht="14.55" customHeight="1">
      <c r="A271" s="485"/>
      <c r="B271" s="486" t="s">
        <v>2743</v>
      </c>
      <c r="D271" s="1282" t="s">
        <v>2057</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ht="14.4">
      <c r="A278" s="485"/>
      <c r="B278" s="486" t="s">
        <v>2743</v>
      </c>
      <c r="D278" s="1282" t="s">
        <v>1122</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1048</v>
      </c>
      <c r="B282" s="1285"/>
      <c r="C282" s="1285"/>
      <c r="D282" s="1285"/>
      <c r="E282" s="1285"/>
      <c r="F282" s="1285"/>
      <c r="G282" s="1285"/>
      <c r="H282" s="1029"/>
      <c r="I282" s="1155"/>
    </row>
    <row r="283" spans="1:9">
      <c r="D283" s="493"/>
      <c r="E283" s="447"/>
      <c r="F283" s="447"/>
      <c r="I283" s="491"/>
    </row>
    <row r="284" spans="1:9">
      <c r="C284" s="483"/>
      <c r="D284" s="1284" t="s">
        <v>1123</v>
      </c>
      <c r="E284" s="1284"/>
      <c r="F284" s="1284"/>
      <c r="I284" s="491"/>
    </row>
    <row r="285" spans="1:9">
      <c r="C285" s="483"/>
      <c r="D285" s="1284"/>
      <c r="E285" s="1284"/>
      <c r="F285" s="1284"/>
      <c r="I285" s="491"/>
    </row>
    <row r="286" spans="1:9">
      <c r="A286" s="484"/>
      <c r="B286" s="484"/>
      <c r="C286" s="484"/>
      <c r="D286" s="405"/>
      <c r="I286" s="491"/>
    </row>
    <row r="287" spans="1:9">
      <c r="C287" s="484"/>
      <c r="D287" s="1290" t="s">
        <v>208</v>
      </c>
      <c r="E287" s="1290"/>
      <c r="F287" s="1290"/>
      <c r="I287" s="491"/>
    </row>
    <row r="288" spans="1:9" ht="15.75" customHeight="1">
      <c r="A288" s="485"/>
      <c r="B288" s="485"/>
      <c r="D288" s="1297" t="s">
        <v>1124</v>
      </c>
      <c r="E288" s="1297"/>
      <c r="F288" s="1297"/>
      <c r="I288" s="491"/>
    </row>
    <row r="289" spans="1:9">
      <c r="E289" s="447"/>
      <c r="F289" s="447"/>
      <c r="I289" s="491"/>
    </row>
    <row r="290" spans="1:9" ht="14.4">
      <c r="A290" s="485"/>
      <c r="B290" s="486" t="s">
        <v>2742</v>
      </c>
      <c r="D290" s="1282" t="s">
        <v>1125</v>
      </c>
      <c r="E290" s="1282"/>
      <c r="F290" s="1282"/>
      <c r="I290" s="491"/>
    </row>
    <row r="291" spans="1:9" ht="14.4">
      <c r="A291" s="485"/>
      <c r="B291" s="485"/>
      <c r="D291" s="1282"/>
      <c r="E291" s="1282"/>
      <c r="F291" s="1282"/>
      <c r="I291" s="491"/>
    </row>
    <row r="292" spans="1:9">
      <c r="D292" s="447"/>
      <c r="E292" s="447"/>
      <c r="F292" s="447"/>
      <c r="I292" s="491"/>
    </row>
    <row r="293" spans="1:9" ht="14.4">
      <c r="A293" s="485"/>
      <c r="B293" s="486" t="s">
        <v>2742</v>
      </c>
      <c r="D293" s="1282" t="s">
        <v>1126</v>
      </c>
      <c r="E293" s="1282"/>
      <c r="F293" s="1282"/>
      <c r="I293" s="491"/>
    </row>
    <row r="294" spans="1:9" ht="14.4">
      <c r="A294" s="485"/>
      <c r="B294" s="485"/>
      <c r="D294" s="1282"/>
      <c r="E294" s="1282"/>
      <c r="F294" s="1282"/>
      <c r="I294" s="491"/>
    </row>
    <row r="295" spans="1:9" ht="14.4">
      <c r="A295" s="485"/>
      <c r="B295" s="485"/>
      <c r="D295" s="1282"/>
      <c r="E295" s="1282"/>
      <c r="F295" s="1282"/>
      <c r="I295" s="491"/>
    </row>
    <row r="296" spans="1:9">
      <c r="D296" s="447"/>
      <c r="E296" s="447"/>
      <c r="F296" s="447"/>
      <c r="I296" s="491"/>
    </row>
    <row r="297" spans="1:9" ht="14.4">
      <c r="A297" s="485"/>
      <c r="B297" s="486" t="s">
        <v>2743</v>
      </c>
      <c r="D297" s="1282" t="s">
        <v>1127</v>
      </c>
      <c r="E297" s="1282"/>
      <c r="F297" s="1282"/>
      <c r="I297" s="491"/>
    </row>
    <row r="298" spans="1:9" ht="14.4">
      <c r="A298" s="485"/>
      <c r="B298" s="485"/>
      <c r="D298" s="1282"/>
      <c r="E298" s="1282"/>
      <c r="F298" s="1282"/>
      <c r="I298" s="491"/>
    </row>
    <row r="299" spans="1:9">
      <c r="A299" s="491"/>
      <c r="B299" s="491"/>
      <c r="E299" s="447"/>
      <c r="F299" s="447"/>
      <c r="I299" s="491"/>
    </row>
    <row r="300" spans="1:9">
      <c r="A300" s="1285" t="s">
        <v>1049</v>
      </c>
      <c r="B300" s="1285"/>
      <c r="C300" s="1285"/>
      <c r="D300" s="1285"/>
      <c r="E300" s="1285"/>
      <c r="F300" s="1285"/>
      <c r="G300" s="1285"/>
      <c r="H300" s="1029"/>
      <c r="I300" s="1155"/>
    </row>
    <row r="301" spans="1:9">
      <c r="A301" s="491"/>
      <c r="B301" s="491"/>
      <c r="D301" s="447"/>
      <c r="E301" s="447"/>
      <c r="F301" s="447"/>
      <c r="I301" s="491"/>
    </row>
    <row r="302" spans="1:9">
      <c r="C302" s="491"/>
      <c r="D302" s="1290" t="s">
        <v>682</v>
      </c>
      <c r="E302" s="1290"/>
      <c r="F302" s="1290"/>
      <c r="I302" s="491"/>
    </row>
    <row r="303" spans="1:9">
      <c r="C303" s="491"/>
      <c r="D303" s="1283" t="s">
        <v>1128</v>
      </c>
      <c r="E303" s="1283"/>
      <c r="F303" s="1283"/>
      <c r="I303" s="491"/>
    </row>
    <row r="304" spans="1:9">
      <c r="C304" s="491"/>
      <c r="D304" s="494"/>
      <c r="I304" s="491"/>
    </row>
    <row r="305" spans="1:9">
      <c r="B305" s="486" t="s">
        <v>2742</v>
      </c>
      <c r="D305" s="1283" t="s">
        <v>1129</v>
      </c>
      <c r="E305" s="1283"/>
      <c r="F305" s="1283"/>
      <c r="I305" s="491"/>
    </row>
    <row r="306" spans="1:9" ht="14.4">
      <c r="A306" s="485"/>
      <c r="B306" s="485"/>
      <c r="D306" s="495"/>
      <c r="E306" s="496"/>
      <c r="F306" s="496"/>
      <c r="I306" s="491"/>
    </row>
    <row r="307" spans="1:9" ht="13.8" customHeight="1">
      <c r="B307" s="486" t="s">
        <v>2743</v>
      </c>
      <c r="D307" s="1292" t="s">
        <v>1219</v>
      </c>
      <c r="E307" s="1292"/>
      <c r="F307" s="1292"/>
      <c r="I307" s="491"/>
    </row>
    <row r="308" spans="1:9" ht="14.4">
      <c r="A308" s="485"/>
      <c r="B308" s="485"/>
      <c r="D308" s="1292"/>
      <c r="E308" s="1292"/>
      <c r="F308" s="1292"/>
      <c r="I308" s="491"/>
    </row>
    <row r="309" spans="1:9" ht="14.4">
      <c r="A309" s="485"/>
      <c r="B309" s="485"/>
      <c r="D309" s="1292"/>
      <c r="E309" s="1292"/>
      <c r="F309" s="1292"/>
      <c r="I309" s="491"/>
    </row>
    <row r="310" spans="1:9" ht="14.4">
      <c r="A310" s="485"/>
      <c r="B310" s="485"/>
      <c r="D310" s="1292"/>
      <c r="E310" s="1292"/>
      <c r="F310" s="1292"/>
      <c r="I310" s="491"/>
    </row>
    <row r="311" spans="1:9" ht="14.4">
      <c r="A311" s="485"/>
      <c r="B311" s="485"/>
      <c r="D311" s="1292"/>
      <c r="E311" s="1292"/>
      <c r="F311" s="1292"/>
      <c r="I311" s="491"/>
    </row>
    <row r="312" spans="1:9" ht="14.4">
      <c r="A312" s="485"/>
      <c r="B312" s="485"/>
      <c r="D312" s="495"/>
      <c r="E312" s="496"/>
      <c r="F312" s="496"/>
      <c r="I312" s="491"/>
    </row>
    <row r="313" spans="1:9" ht="13.8" customHeight="1">
      <c r="B313" s="486" t="s">
        <v>2743</v>
      </c>
      <c r="D313" s="1292" t="s">
        <v>1130</v>
      </c>
      <c r="E313" s="1292"/>
      <c r="F313" s="1292"/>
      <c r="I313" s="491"/>
    </row>
    <row r="314" spans="1:9">
      <c r="D314" s="1292"/>
      <c r="E314" s="1292"/>
      <c r="F314" s="1292"/>
      <c r="I314" s="491"/>
    </row>
    <row r="315" spans="1:9" ht="14.4">
      <c r="A315" s="485"/>
      <c r="B315" s="485"/>
      <c r="D315" s="495"/>
      <c r="E315" s="496"/>
      <c r="F315" s="496"/>
      <c r="I315" s="491"/>
    </row>
    <row r="316" spans="1:9">
      <c r="B316" s="486" t="s">
        <v>2743</v>
      </c>
      <c r="D316" s="1283" t="s">
        <v>1131</v>
      </c>
      <c r="E316" s="1283"/>
      <c r="F316" s="1283"/>
      <c r="I316" s="491"/>
    </row>
    <row r="317" spans="1:9">
      <c r="E317" s="447"/>
      <c r="F317" s="447"/>
      <c r="I317" s="491"/>
    </row>
    <row r="318" spans="1:9" ht="14.4">
      <c r="A318" s="485"/>
      <c r="B318" s="486" t="s">
        <v>2742</v>
      </c>
      <c r="D318" s="1282" t="s">
        <v>2248</v>
      </c>
      <c r="E318" s="1282"/>
      <c r="F318" s="1282"/>
      <c r="I318" s="491"/>
    </row>
    <row r="319" spans="1:9" ht="14.4">
      <c r="A319" s="485"/>
      <c r="B319" s="485"/>
      <c r="D319" s="1282"/>
      <c r="E319" s="1282"/>
      <c r="F319" s="1282"/>
      <c r="I319" s="491"/>
    </row>
    <row r="320" spans="1:9" ht="14.4">
      <c r="A320" s="485"/>
      <c r="B320" s="485"/>
      <c r="D320" s="1282"/>
      <c r="E320" s="1282"/>
      <c r="F320" s="1282"/>
      <c r="I320" s="491"/>
    </row>
    <row r="321" spans="1:9" ht="14.4">
      <c r="A321" s="485"/>
      <c r="B321" s="485"/>
      <c r="D321" s="1282"/>
      <c r="E321" s="1282"/>
      <c r="F321" s="1282"/>
      <c r="I321" s="491"/>
    </row>
    <row r="322" spans="1:9" ht="14.4">
      <c r="A322" s="485"/>
      <c r="B322" s="485"/>
      <c r="D322" s="1282"/>
      <c r="E322" s="1282"/>
      <c r="F322" s="1282"/>
      <c r="I322" s="491"/>
    </row>
    <row r="323" spans="1:9" ht="14.4">
      <c r="A323" s="485"/>
      <c r="B323" s="485"/>
      <c r="D323" s="1282"/>
      <c r="E323" s="1282"/>
      <c r="F323" s="1282"/>
      <c r="I323" s="491"/>
    </row>
    <row r="324" spans="1:9" ht="14.4">
      <c r="A324" s="485"/>
      <c r="B324" s="485"/>
      <c r="D324" s="1282"/>
      <c r="E324" s="1282"/>
      <c r="F324" s="1282"/>
      <c r="I324" s="491"/>
    </row>
    <row r="325" spans="1:9" ht="14.4">
      <c r="A325" s="485"/>
      <c r="B325" s="485"/>
      <c r="D325" s="1282"/>
      <c r="E325" s="1282"/>
      <c r="F325" s="1282"/>
      <c r="I325" s="491"/>
    </row>
    <row r="326" spans="1:9" ht="14.4">
      <c r="A326" s="485"/>
      <c r="B326" s="485"/>
      <c r="D326" s="1282"/>
      <c r="E326" s="1282"/>
      <c r="F326" s="1282"/>
      <c r="I326" s="491"/>
    </row>
    <row r="327" spans="1:9" ht="14.4">
      <c r="A327" s="485"/>
      <c r="B327" s="485"/>
      <c r="D327" s="1282"/>
      <c r="E327" s="1282"/>
      <c r="F327" s="1282"/>
      <c r="I327" s="491"/>
    </row>
    <row r="328" spans="1:9" ht="14.4">
      <c r="A328" s="485"/>
      <c r="B328" s="485"/>
      <c r="D328" s="1282"/>
      <c r="E328" s="1282"/>
      <c r="F328" s="1282"/>
      <c r="I328" s="491"/>
    </row>
    <row r="329" spans="1:9" ht="14.4">
      <c r="A329" s="485"/>
      <c r="B329" s="485"/>
      <c r="D329" s="1282"/>
      <c r="E329" s="1282"/>
      <c r="F329" s="1282"/>
      <c r="I329" s="491"/>
    </row>
    <row r="330" spans="1:9" ht="14.4">
      <c r="A330" s="485"/>
      <c r="B330" s="485"/>
      <c r="D330" s="1282"/>
      <c r="E330" s="1282"/>
      <c r="F330" s="1282"/>
      <c r="I330" s="491"/>
    </row>
    <row r="331" spans="1:9" ht="14.4">
      <c r="A331" s="485"/>
      <c r="B331" s="485"/>
      <c r="D331" s="1282"/>
      <c r="E331" s="1282"/>
      <c r="F331" s="1282"/>
      <c r="I331" s="491"/>
    </row>
    <row r="332" spans="1:9" ht="14.4">
      <c r="A332" s="485"/>
      <c r="B332" s="485"/>
      <c r="D332" s="1282"/>
      <c r="E332" s="1282"/>
      <c r="F332" s="1282"/>
      <c r="I332" s="491"/>
    </row>
    <row r="333" spans="1:9">
      <c r="D333" s="447"/>
      <c r="E333" s="447"/>
      <c r="F333" s="447"/>
      <c r="I333" s="491"/>
    </row>
    <row r="334" spans="1:9" ht="14.4">
      <c r="A334" s="485"/>
      <c r="B334" s="486" t="s">
        <v>2743</v>
      </c>
      <c r="D334" s="1282" t="s">
        <v>1132</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2742</v>
      </c>
      <c r="D344" s="1282" t="s">
        <v>1903</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8" thickBot="1">
      <c r="A351" s="1023"/>
      <c r="B351" s="1023"/>
      <c r="C351" s="1023"/>
      <c r="D351" s="1295" t="s">
        <v>979</v>
      </c>
      <c r="E351" s="1295"/>
      <c r="F351" s="1295"/>
      <c r="G351" s="1028"/>
      <c r="H351" s="1028"/>
      <c r="I351" s="1158"/>
    </row>
    <row r="352" spans="1:9" ht="13.8" thickTop="1">
      <c r="D352" s="1293" t="s">
        <v>2249</v>
      </c>
      <c r="E352" s="1293"/>
      <c r="F352" s="1293"/>
      <c r="I352" s="491"/>
    </row>
    <row r="353" spans="1:9">
      <c r="D353" s="447"/>
      <c r="E353" s="447"/>
      <c r="F353" s="447"/>
      <c r="I353" s="491"/>
    </row>
    <row r="354" spans="1:9">
      <c r="A354" s="477"/>
      <c r="B354" s="477"/>
      <c r="C354" s="477"/>
      <c r="D354" s="448"/>
      <c r="E354" s="448"/>
      <c r="F354" s="447"/>
      <c r="I354" s="491"/>
    </row>
    <row r="355" spans="1:9" ht="14.4">
      <c r="A355" s="485"/>
      <c r="B355" s="486" t="s">
        <v>2743</v>
      </c>
      <c r="C355" s="488"/>
      <c r="D355" s="1283" t="s">
        <v>1901</v>
      </c>
      <c r="E355" s="1283"/>
      <c r="F355" s="1283"/>
      <c r="I355" s="491"/>
    </row>
    <row r="356" spans="1:9" ht="12.75" customHeight="1">
      <c r="D356" s="1038"/>
      <c r="E356" s="96" t="s">
        <v>1900</v>
      </c>
      <c r="F356" s="1038"/>
      <c r="I356" s="491"/>
    </row>
    <row r="357" spans="1:9">
      <c r="D357" s="1282" t="s">
        <v>1239</v>
      </c>
      <c r="E357" s="1282"/>
      <c r="F357" s="1282"/>
      <c r="I357" s="491"/>
    </row>
    <row r="358" spans="1:9">
      <c r="D358" s="1282"/>
      <c r="E358" s="1282"/>
      <c r="F358" s="1282"/>
      <c r="I358" s="491"/>
    </row>
    <row r="359" spans="1:9">
      <c r="D359" s="1282"/>
      <c r="E359" s="1282"/>
      <c r="F359" s="1282"/>
      <c r="I359" s="491"/>
    </row>
    <row r="360" spans="1:9" ht="14.4">
      <c r="A360" s="485"/>
      <c r="B360" s="486" t="s">
        <v>2743</v>
      </c>
      <c r="C360" s="477"/>
      <c r="D360" s="1294" t="s">
        <v>2058</v>
      </c>
      <c r="E360" s="1294"/>
      <c r="F360" s="1294"/>
      <c r="I360" s="481"/>
    </row>
    <row r="361" spans="1:9">
      <c r="A361" s="477"/>
      <c r="B361" s="477"/>
      <c r="C361" s="477"/>
      <c r="D361" s="448"/>
      <c r="E361" s="448"/>
      <c r="F361" s="447"/>
      <c r="I361" s="491"/>
    </row>
    <row r="362" spans="1:9">
      <c r="A362" s="477"/>
      <c r="B362" s="486" t="s">
        <v>2743</v>
      </c>
      <c r="C362" s="477"/>
      <c r="D362" s="1262" t="s">
        <v>2059</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5" customHeight="1">
      <c r="A375" s="477"/>
      <c r="B375" s="486" t="s">
        <v>2743</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2743</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4">
      <c r="A387" s="485"/>
      <c r="B387" s="486" t="s">
        <v>2743</v>
      </c>
      <c r="C387" s="477"/>
      <c r="D387" s="1262" t="s">
        <v>1133</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1134</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8" customHeight="1">
      <c r="A401" s="477"/>
      <c r="B401" s="477"/>
      <c r="C401" s="477"/>
      <c r="D401" s="1262" t="s">
        <v>1135</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2743</v>
      </c>
      <c r="C420" s="477"/>
      <c r="D420" s="1262" t="s">
        <v>1136</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55" customHeight="1">
      <c r="A423" s="485"/>
      <c r="B423" s="486" t="s">
        <v>2743</v>
      </c>
      <c r="D423" s="1262" t="s">
        <v>1882</v>
      </c>
      <c r="E423" s="1262"/>
      <c r="F423" s="1262"/>
      <c r="I423" s="491"/>
    </row>
    <row r="424" spans="1:9" ht="14.55" customHeight="1">
      <c r="A424" s="485"/>
      <c r="D424" s="1262"/>
      <c r="E424" s="1262"/>
      <c r="F424" s="1262"/>
      <c r="I424" s="491"/>
    </row>
    <row r="425" spans="1:9" ht="14.55" customHeight="1">
      <c r="A425" s="485"/>
      <c r="D425" s="1262"/>
      <c r="E425" s="1262"/>
      <c r="F425" s="1262"/>
      <c r="I425" s="491"/>
    </row>
    <row r="426" spans="1:9" ht="14.55" customHeight="1">
      <c r="A426" s="485"/>
      <c r="D426" s="1262"/>
      <c r="E426" s="1262"/>
      <c r="F426" s="1262"/>
      <c r="I426" s="491"/>
    </row>
    <row r="427" spans="1:9" ht="14.55" customHeight="1">
      <c r="A427" s="485"/>
      <c r="D427" s="1262"/>
      <c r="E427" s="1262"/>
      <c r="F427" s="1262"/>
      <c r="I427" s="491"/>
    </row>
    <row r="428" spans="1:9" ht="14.55" customHeight="1">
      <c r="A428" s="485"/>
      <c r="D428" s="386"/>
      <c r="E428" s="386"/>
      <c r="F428" s="386"/>
      <c r="I428" s="491"/>
    </row>
    <row r="429" spans="1:9" ht="13.8" customHeight="1">
      <c r="A429" s="485"/>
      <c r="B429" s="486" t="s">
        <v>2743</v>
      </c>
      <c r="C429" s="477"/>
      <c r="D429" s="1262" t="s">
        <v>1240</v>
      </c>
      <c r="E429" s="1262"/>
      <c r="F429" s="1262"/>
      <c r="I429" s="491"/>
    </row>
    <row r="430" spans="1:9" ht="14.4">
      <c r="A430" s="498"/>
      <c r="B430" s="498"/>
      <c r="C430" s="477"/>
      <c r="D430" s="1262"/>
      <c r="E430" s="1262"/>
      <c r="F430" s="1262"/>
      <c r="I430" s="491"/>
    </row>
    <row r="431" spans="1:9" ht="14.4">
      <c r="A431" s="498"/>
      <c r="B431" s="498"/>
      <c r="C431" s="477"/>
      <c r="D431" s="1262"/>
      <c r="E431" s="1262"/>
      <c r="F431" s="1262"/>
      <c r="I431" s="491"/>
    </row>
    <row r="432" spans="1:9" ht="14.4">
      <c r="A432" s="498"/>
      <c r="B432" s="498"/>
      <c r="C432" s="477"/>
      <c r="D432" s="1262"/>
      <c r="E432" s="1262"/>
      <c r="F432" s="1262"/>
      <c r="I432" s="491"/>
    </row>
    <row r="433" spans="1:9" ht="15.75" customHeight="1">
      <c r="A433" s="498"/>
      <c r="B433" s="498"/>
      <c r="C433" s="477"/>
      <c r="D433" s="1296" t="s">
        <v>2075</v>
      </c>
      <c r="E433" s="1262"/>
      <c r="F433" s="1262"/>
      <c r="I433" s="491"/>
    </row>
    <row r="434" spans="1:9">
      <c r="D434" s="447"/>
      <c r="E434" s="447"/>
      <c r="F434" s="447"/>
      <c r="I434" s="491"/>
    </row>
    <row r="435" spans="1:9" ht="14.4">
      <c r="A435" s="485"/>
      <c r="B435" s="486" t="s">
        <v>2743</v>
      </c>
      <c r="C435" s="488"/>
      <c r="D435" s="1282" t="s">
        <v>2060</v>
      </c>
      <c r="E435" s="1282"/>
      <c r="F435" s="1282"/>
      <c r="I435" s="491"/>
    </row>
    <row r="436" spans="1:9" ht="14.4">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99999999999997" customHeight="1">
      <c r="D465" s="1282"/>
      <c r="E465" s="1282"/>
      <c r="F465" s="1282"/>
      <c r="I465" s="491"/>
    </row>
    <row r="466" spans="1:9">
      <c r="D466" s="447"/>
      <c r="E466" s="447"/>
      <c r="F466" s="447"/>
      <c r="I466" s="491"/>
    </row>
    <row r="467" spans="1:9" ht="14.4">
      <c r="A467" s="485"/>
      <c r="B467" s="486" t="s">
        <v>2743</v>
      </c>
      <c r="C467" s="488"/>
      <c r="D467" s="1282" t="s">
        <v>1137</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ht="14.4">
      <c r="B471" s="486" t="s">
        <v>2743</v>
      </c>
      <c r="C471" s="485"/>
      <c r="D471" s="1282" t="s">
        <v>1197</v>
      </c>
      <c r="E471" s="1282"/>
      <c r="F471" s="1282"/>
      <c r="I471" s="491"/>
    </row>
    <row r="472" spans="1:9">
      <c r="D472" s="1282"/>
      <c r="E472" s="1282"/>
      <c r="F472" s="1282"/>
      <c r="I472" s="491"/>
    </row>
    <row r="473" spans="1:9">
      <c r="D473" s="447"/>
      <c r="E473" s="447"/>
      <c r="F473" s="447"/>
      <c r="I473" s="491"/>
    </row>
    <row r="474" spans="1:9" ht="14.4">
      <c r="B474" s="486" t="s">
        <v>2743</v>
      </c>
      <c r="C474" s="485"/>
      <c r="D474" s="1282" t="s">
        <v>1138</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2743</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2743</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2743</v>
      </c>
      <c r="C486" s="403"/>
      <c r="D486" s="1282"/>
      <c r="E486" s="1282"/>
      <c r="F486" s="1282"/>
      <c r="I486" s="491"/>
    </row>
    <row r="487" spans="1:9">
      <c r="A487" s="403"/>
      <c r="C487" s="403"/>
      <c r="D487" s="1282"/>
      <c r="E487" s="1282"/>
      <c r="F487" s="1282"/>
      <c r="I487" s="491"/>
    </row>
    <row r="488" spans="1:9">
      <c r="A488" s="403"/>
      <c r="B488" s="486" t="s">
        <v>2743</v>
      </c>
      <c r="C488" s="403"/>
      <c r="D488" s="1282" t="s">
        <v>1139</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2743</v>
      </c>
      <c r="D494" s="1283" t="s">
        <v>1140</v>
      </c>
      <c r="E494" s="1283"/>
      <c r="F494" s="1283"/>
      <c r="I494" s="491"/>
    </row>
    <row r="495" spans="1:9">
      <c r="A495" s="447"/>
      <c r="B495" s="447"/>
      <c r="I495" s="491"/>
    </row>
    <row r="496" spans="1:9">
      <c r="A496" s="1285" t="s">
        <v>1050</v>
      </c>
      <c r="B496" s="1285"/>
      <c r="C496" s="1285"/>
      <c r="D496" s="1285"/>
      <c r="E496" s="1285"/>
      <c r="F496" s="1285"/>
      <c r="G496" s="1285"/>
      <c r="H496" s="1029"/>
      <c r="I496" s="1155"/>
    </row>
    <row r="497" spans="1:9">
      <c r="A497" s="447"/>
      <c r="B497" s="447"/>
      <c r="I497" s="491"/>
    </row>
    <row r="498" spans="1:9">
      <c r="D498" s="1298" t="s">
        <v>883</v>
      </c>
      <c r="E498" s="1298"/>
      <c r="F498" s="1298"/>
      <c r="I498" s="491"/>
    </row>
    <row r="499" spans="1:9" ht="14.4">
      <c r="A499" s="485"/>
      <c r="B499" s="485"/>
      <c r="D499" s="1294" t="s">
        <v>1141</v>
      </c>
      <c r="E499" s="1294"/>
      <c r="F499" s="1294"/>
      <c r="I499" s="491"/>
    </row>
    <row r="500" spans="1:9" ht="14.4">
      <c r="A500" s="485"/>
      <c r="B500" s="485"/>
      <c r="D500" s="448"/>
      <c r="I500" s="491"/>
    </row>
    <row r="501" spans="1:9" ht="14.4">
      <c r="A501" s="485"/>
      <c r="B501" s="486" t="s">
        <v>2742</v>
      </c>
      <c r="D501" s="1262" t="s">
        <v>1142</v>
      </c>
      <c r="E501" s="1262"/>
      <c r="F501" s="1262"/>
      <c r="I501" s="491"/>
    </row>
    <row r="502" spans="1:9" ht="14.4">
      <c r="A502" s="485"/>
      <c r="B502" s="485"/>
      <c r="D502" s="1262"/>
      <c r="E502" s="1262"/>
      <c r="F502" s="1262"/>
      <c r="I502" s="491"/>
    </row>
    <row r="503" spans="1:9" ht="14.4">
      <c r="A503" s="485"/>
      <c r="B503" s="485"/>
      <c r="D503" s="447"/>
      <c r="I503" s="491"/>
    </row>
    <row r="504" spans="1:9" ht="12.75" customHeight="1">
      <c r="B504" s="486" t="s">
        <v>2742</v>
      </c>
      <c r="D504" s="1286" t="s">
        <v>1273</v>
      </c>
      <c r="E504" s="1286"/>
      <c r="F504" s="1286"/>
      <c r="I504" s="491"/>
    </row>
    <row r="505" spans="1:9" ht="14.4">
      <c r="A505" s="485"/>
      <c r="D505" s="1286"/>
      <c r="E505" s="1286"/>
      <c r="F505" s="1286"/>
      <c r="I505" s="491"/>
    </row>
    <row r="506" spans="1:9" ht="14.4">
      <c r="A506" s="485"/>
      <c r="B506" s="485"/>
      <c r="D506" s="1286"/>
      <c r="E506" s="1286"/>
      <c r="F506" s="1286"/>
      <c r="I506" s="491"/>
    </row>
    <row r="507" spans="1:9" ht="14.4">
      <c r="A507" s="485"/>
      <c r="B507" s="485"/>
      <c r="D507" s="1286"/>
      <c r="E507" s="1286"/>
      <c r="F507" s="1286"/>
      <c r="I507" s="491"/>
    </row>
    <row r="508" spans="1:9" ht="14.4">
      <c r="A508" s="485"/>
      <c r="D508" s="521"/>
      <c r="E508" s="521"/>
      <c r="F508" s="521"/>
      <c r="I508" s="491"/>
    </row>
    <row r="509" spans="1:9" ht="14.4">
      <c r="A509" s="485"/>
      <c r="B509" s="486" t="s">
        <v>2743</v>
      </c>
      <c r="D509" s="1283" t="s">
        <v>1143</v>
      </c>
      <c r="E509" s="1283"/>
      <c r="F509" s="1283"/>
      <c r="I509" s="491"/>
    </row>
    <row r="510" spans="1:9" ht="14.4">
      <c r="A510" s="485"/>
      <c r="B510" s="485"/>
      <c r="D510" s="447"/>
      <c r="I510" s="491"/>
    </row>
    <row r="511" spans="1:9" ht="14.4">
      <c r="A511" s="485"/>
      <c r="B511" s="486" t="s">
        <v>2742</v>
      </c>
      <c r="D511" s="1282" t="s">
        <v>1144</v>
      </c>
      <c r="E511" s="1282"/>
      <c r="F511" s="1282"/>
      <c r="I511" s="491"/>
    </row>
    <row r="512" spans="1:9" ht="14.4">
      <c r="A512" s="485"/>
      <c r="D512" s="1282"/>
      <c r="E512" s="1282"/>
      <c r="F512" s="1282"/>
      <c r="I512" s="491"/>
    </row>
    <row r="513" spans="1:9">
      <c r="A513" s="491"/>
      <c r="B513" s="491"/>
      <c r="D513" s="448"/>
      <c r="I513" s="491"/>
    </row>
    <row r="514" spans="1:9">
      <c r="A514" s="491"/>
      <c r="B514" s="486" t="s">
        <v>2743</v>
      </c>
      <c r="D514" s="1283" t="s">
        <v>1145</v>
      </c>
      <c r="E514" s="1283"/>
      <c r="F514" s="1283"/>
      <c r="I514" s="491"/>
    </row>
    <row r="515" spans="1:9">
      <c r="D515" s="447"/>
      <c r="E515" s="447"/>
      <c r="F515" s="447"/>
      <c r="I515" s="491"/>
    </row>
    <row r="516" spans="1:9">
      <c r="B516" s="486" t="s">
        <v>2743</v>
      </c>
      <c r="D516" s="1282" t="s">
        <v>2283</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ht="14.4">
      <c r="A520" s="485"/>
      <c r="B520" s="485"/>
      <c r="D520" s="447"/>
      <c r="I520" s="491"/>
    </row>
    <row r="521" spans="1:9">
      <c r="A521" s="1285" t="s">
        <v>1051</v>
      </c>
      <c r="B521" s="1285"/>
      <c r="C521" s="1285"/>
      <c r="D521" s="1285"/>
      <c r="E521" s="1285"/>
      <c r="F521" s="1285"/>
      <c r="G521" s="1285"/>
      <c r="H521" s="1029"/>
      <c r="I521" s="1155"/>
    </row>
    <row r="522" spans="1:9" ht="12" customHeight="1">
      <c r="A522" s="485"/>
      <c r="B522" s="485"/>
      <c r="D522" s="447"/>
      <c r="I522" s="491"/>
    </row>
    <row r="523" spans="1:9">
      <c r="C523" s="483"/>
      <c r="D523" s="1290" t="s">
        <v>793</v>
      </c>
      <c r="E523" s="1290"/>
      <c r="F523" s="129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8" customHeight="1">
      <c r="A527" s="484"/>
      <c r="B527" s="486" t="s">
        <v>2742</v>
      </c>
      <c r="C527" s="484"/>
      <c r="D527" s="1262" t="s">
        <v>2061</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2743</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2" customHeight="1">
      <c r="A536" s="484"/>
      <c r="B536" s="486" t="s">
        <v>2743</v>
      </c>
      <c r="C536" s="484"/>
      <c r="D536" s="1282" t="s">
        <v>2063</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1052</v>
      </c>
      <c r="B539" s="1285"/>
      <c r="C539" s="1285"/>
      <c r="D539" s="1285"/>
      <c r="E539" s="1285"/>
      <c r="F539" s="1285"/>
      <c r="G539" s="1285"/>
      <c r="H539" s="1029"/>
      <c r="I539" s="1155"/>
    </row>
    <row r="540" spans="1:9">
      <c r="A540" s="447"/>
      <c r="B540" s="447"/>
      <c r="C540" s="488"/>
      <c r="F540" s="449"/>
      <c r="I540" s="491"/>
    </row>
    <row r="541" spans="1:9">
      <c r="B541" s="1288" t="s">
        <v>446</v>
      </c>
      <c r="C541" s="1288"/>
      <c r="D541" s="1288"/>
      <c r="E541" s="1288"/>
      <c r="F541" s="1288"/>
      <c r="I541" s="491"/>
    </row>
    <row r="542" spans="1:9">
      <c r="A542" s="447"/>
      <c r="B542" s="447"/>
      <c r="C542" s="488"/>
      <c r="D542" s="447"/>
      <c r="F542" s="447"/>
      <c r="I542" s="491"/>
    </row>
    <row r="543" spans="1:9">
      <c r="A543" s="1289" t="s">
        <v>1053</v>
      </c>
      <c r="B543" s="1289"/>
      <c r="C543" s="1289"/>
      <c r="D543" s="1289"/>
      <c r="E543" s="1289"/>
      <c r="F543" s="1289"/>
      <c r="G543" s="1289"/>
      <c r="H543" s="1029"/>
      <c r="I543" s="1155"/>
    </row>
    <row r="544" spans="1:9">
      <c r="A544" s="447"/>
      <c r="B544" s="447"/>
      <c r="C544" s="488"/>
      <c r="D544" s="447"/>
      <c r="F544" s="447"/>
      <c r="I544" s="491"/>
    </row>
    <row r="545" spans="1:9">
      <c r="C545" s="488"/>
      <c r="D545" s="1290" t="s">
        <v>683</v>
      </c>
      <c r="E545" s="1290"/>
      <c r="F545" s="1290"/>
      <c r="I545" s="491"/>
    </row>
    <row r="546" spans="1:9">
      <c r="C546" s="488"/>
      <c r="D546" s="1283" t="s">
        <v>1081</v>
      </c>
      <c r="E546" s="1283"/>
      <c r="F546" s="1283"/>
      <c r="I546" s="491"/>
    </row>
    <row r="547" spans="1:9">
      <c r="C547" s="488"/>
      <c r="D547" s="447"/>
      <c r="E547" s="447"/>
      <c r="F547" s="447"/>
      <c r="I547" s="491"/>
    </row>
    <row r="548" spans="1:9" ht="13.8" customHeight="1">
      <c r="A548" s="485"/>
      <c r="B548" s="486" t="s">
        <v>2742</v>
      </c>
      <c r="C548" s="488"/>
      <c r="D548" s="1283" t="s">
        <v>884</v>
      </c>
      <c r="E548" s="1283"/>
      <c r="F548" s="1283"/>
      <c r="I548" s="491"/>
    </row>
    <row r="549" spans="1:9" ht="13.8" customHeight="1">
      <c r="A549" s="488"/>
      <c r="B549" s="488"/>
      <c r="C549" s="488"/>
      <c r="D549" s="447"/>
      <c r="I549" s="491"/>
    </row>
    <row r="550" spans="1:9" ht="14.4">
      <c r="A550" s="485"/>
      <c r="B550" s="486" t="s">
        <v>2742</v>
      </c>
      <c r="C550" s="488"/>
      <c r="D550" s="1282" t="s">
        <v>1082</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ht="14.4">
      <c r="A553" s="485"/>
      <c r="B553" s="486" t="s">
        <v>2742</v>
      </c>
      <c r="C553" s="488"/>
      <c r="D553" s="1282" t="s">
        <v>1083</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ht="14.4">
      <c r="A556" s="485"/>
      <c r="B556" s="486" t="s">
        <v>2742</v>
      </c>
      <c r="C556" s="488"/>
      <c r="D556" s="1282" t="s">
        <v>1084</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ht="14.4">
      <c r="A559" s="485"/>
      <c r="B559" s="486" t="s">
        <v>2742</v>
      </c>
      <c r="C559" s="488"/>
      <c r="D559" s="1282" t="s">
        <v>1085</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ht="14.4">
      <c r="A563" s="485"/>
      <c r="B563" s="486" t="s">
        <v>2743</v>
      </c>
      <c r="C563" s="488"/>
      <c r="D563" s="1282" t="s">
        <v>2250</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ht="14.4">
      <c r="A566" s="485"/>
      <c r="B566" s="486" t="s">
        <v>2742</v>
      </c>
      <c r="C566" s="488"/>
      <c r="D566" s="1282" t="s">
        <v>1086</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ht="14.4">
      <c r="A569" s="485"/>
      <c r="B569" s="486" t="s">
        <v>2742</v>
      </c>
      <c r="C569" s="488"/>
      <c r="D569" s="1283" t="s">
        <v>1087</v>
      </c>
      <c r="E569" s="1283"/>
      <c r="F569" s="1283"/>
      <c r="I569" s="491"/>
    </row>
    <row r="570" spans="1:9">
      <c r="A570" s="491"/>
      <c r="B570" s="491"/>
      <c r="C570" s="488"/>
      <c r="D570" s="1283" t="s">
        <v>1907</v>
      </c>
      <c r="E570" s="1283"/>
      <c r="F570" s="1283"/>
      <c r="I570" s="491"/>
    </row>
    <row r="571" spans="1:9">
      <c r="A571" s="491"/>
      <c r="B571" s="491"/>
      <c r="C571" s="488"/>
      <c r="E571" s="96" t="s">
        <v>1906</v>
      </c>
      <c r="F571" s="405"/>
      <c r="I571" s="491"/>
    </row>
    <row r="572" spans="1:9" ht="14.4">
      <c r="A572" s="485"/>
      <c r="B572" s="485"/>
      <c r="C572" s="488"/>
      <c r="E572" s="447"/>
      <c r="F572" s="447"/>
      <c r="I572" s="491"/>
    </row>
    <row r="573" spans="1:9" ht="14.4">
      <c r="A573" s="485"/>
      <c r="B573" s="486" t="s">
        <v>2742</v>
      </c>
      <c r="C573" s="488"/>
      <c r="D573" s="1283" t="s">
        <v>1088</v>
      </c>
      <c r="E573" s="1283"/>
      <c r="F573" s="1283"/>
      <c r="I573" s="491"/>
    </row>
    <row r="574" spans="1:9">
      <c r="C574" s="488"/>
      <c r="D574" s="1282" t="s">
        <v>1089</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ht="14.4">
      <c r="A578" s="485"/>
      <c r="B578" s="486" t="s">
        <v>2742</v>
      </c>
      <c r="C578" s="488"/>
      <c r="D578" s="1282" t="s">
        <v>2064</v>
      </c>
      <c r="E578" s="1282"/>
      <c r="F578" s="1282"/>
      <c r="I578" s="491"/>
    </row>
    <row r="579" spans="1:9" ht="14.4">
      <c r="A579" s="485"/>
      <c r="B579" s="485"/>
      <c r="C579" s="488"/>
      <c r="D579" s="1282"/>
      <c r="E579" s="1282"/>
      <c r="F579" s="1282"/>
      <c r="I579" s="491"/>
    </row>
    <row r="580" spans="1:9" ht="14.4">
      <c r="A580" s="485"/>
      <c r="B580" s="485"/>
      <c r="C580" s="488"/>
      <c r="D580" s="1282"/>
      <c r="E580" s="1282"/>
      <c r="F580" s="1282"/>
      <c r="I580" s="491"/>
    </row>
    <row r="581" spans="1:9" ht="14.4">
      <c r="A581" s="485"/>
      <c r="B581" s="485"/>
      <c r="C581" s="488"/>
      <c r="D581" s="1282"/>
      <c r="E581" s="1282"/>
      <c r="F581" s="1282"/>
      <c r="I581" s="491"/>
    </row>
    <row r="582" spans="1:9" ht="14.4">
      <c r="A582" s="485"/>
      <c r="B582" s="485"/>
      <c r="C582" s="488"/>
      <c r="D582" s="447"/>
      <c r="E582" s="447"/>
      <c r="F582" s="447"/>
      <c r="I582" s="491"/>
    </row>
    <row r="583" spans="1:9">
      <c r="A583" s="1285" t="s">
        <v>1054</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209</v>
      </c>
      <c r="E585" s="1284"/>
      <c r="F585" s="1284"/>
      <c r="I585" s="491"/>
    </row>
    <row r="586" spans="1:9">
      <c r="A586" s="484"/>
      <c r="B586" s="484"/>
      <c r="C586" s="484"/>
      <c r="D586" s="1286" t="s">
        <v>1067</v>
      </c>
      <c r="E586" s="1286"/>
      <c r="F586" s="1286"/>
      <c r="I586" s="491"/>
    </row>
    <row r="587" spans="1:9">
      <c r="A587" s="403"/>
      <c r="B587" s="403"/>
      <c r="C587" s="484"/>
      <c r="D587" s="500"/>
      <c r="I587" s="491"/>
    </row>
    <row r="588" spans="1:9">
      <c r="A588" s="484"/>
      <c r="B588" s="486" t="s">
        <v>2742</v>
      </c>
      <c r="D588" s="1286" t="s">
        <v>888</v>
      </c>
      <c r="E588" s="1286"/>
      <c r="F588" s="1286"/>
      <c r="I588" s="491"/>
    </row>
    <row r="589" spans="1:9">
      <c r="A589" s="491"/>
      <c r="B589" s="491"/>
      <c r="D589" s="477"/>
      <c r="I589" s="491"/>
    </row>
    <row r="590" spans="1:9">
      <c r="A590" s="491"/>
      <c r="B590" s="486" t="s">
        <v>2742</v>
      </c>
      <c r="D590" s="1286" t="s">
        <v>2065</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2743</v>
      </c>
      <c r="D594" s="1286" t="s">
        <v>1068</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2742</v>
      </c>
      <c r="D599" s="1286" t="s">
        <v>2066</v>
      </c>
      <c r="E599" s="1286"/>
      <c r="F599" s="1286"/>
      <c r="I599" s="491"/>
    </row>
    <row r="600" spans="1:9">
      <c r="A600" s="491"/>
      <c r="B600" s="491"/>
      <c r="D600" s="1286"/>
      <c r="E600" s="1286"/>
      <c r="F600" s="1286"/>
      <c r="I600" s="491"/>
    </row>
    <row r="601" spans="1:9">
      <c r="A601" s="491"/>
      <c r="B601" s="491"/>
      <c r="D601" s="500"/>
      <c r="I601" s="491"/>
    </row>
    <row r="602" spans="1:9">
      <c r="A602" s="491"/>
      <c r="B602" s="486" t="s">
        <v>2743</v>
      </c>
      <c r="D602" s="1286" t="s">
        <v>1069</v>
      </c>
      <c r="E602" s="1286"/>
      <c r="F602" s="1286"/>
      <c r="I602" s="491"/>
    </row>
    <row r="603" spans="1:9">
      <c r="A603" s="491"/>
      <c r="B603" s="491"/>
      <c r="D603" s="1286"/>
      <c r="E603" s="1286"/>
      <c r="F603" s="1286"/>
      <c r="I603" s="491"/>
    </row>
    <row r="604" spans="1:9" ht="14.4">
      <c r="A604" s="485"/>
      <c r="B604" s="485"/>
      <c r="D604" s="500"/>
      <c r="I604" s="491"/>
    </row>
    <row r="605" spans="1:9">
      <c r="A605" s="1285" t="s">
        <v>1055</v>
      </c>
      <c r="B605" s="1285"/>
      <c r="C605" s="1285"/>
      <c r="D605" s="1285"/>
      <c r="E605" s="1285"/>
      <c r="F605" s="1285"/>
      <c r="G605" s="1285"/>
      <c r="H605" s="1029"/>
      <c r="I605" s="1155"/>
    </row>
    <row r="606" spans="1:9">
      <c r="I606" s="491"/>
    </row>
    <row r="607" spans="1:9">
      <c r="D607" s="1290" t="s">
        <v>1107</v>
      </c>
      <c r="E607" s="1290"/>
      <c r="F607" s="1290"/>
      <c r="I607" s="491"/>
    </row>
    <row r="608" spans="1:9">
      <c r="D608" s="1291" t="s">
        <v>1108</v>
      </c>
      <c r="E608" s="1291"/>
      <c r="F608" s="1291"/>
      <c r="I608" s="491"/>
    </row>
    <row r="609" spans="1:9">
      <c r="D609" s="445"/>
      <c r="I609" s="491"/>
    </row>
    <row r="610" spans="1:9" ht="14.25" customHeight="1">
      <c r="A610" s="485"/>
      <c r="B610" s="486" t="s">
        <v>2742</v>
      </c>
      <c r="D610" s="1311" t="s">
        <v>1908</v>
      </c>
      <c r="E610" s="1311"/>
      <c r="F610" s="1311"/>
      <c r="I610" s="491"/>
    </row>
    <row r="611" spans="1:9">
      <c r="D611" s="1311"/>
      <c r="E611" s="1311"/>
      <c r="F611" s="1311"/>
      <c r="I611" s="491"/>
    </row>
    <row r="612" spans="1:9">
      <c r="D612" s="386"/>
      <c r="E612" s="1037" t="s">
        <v>1909</v>
      </c>
      <c r="F612" s="386"/>
      <c r="I612" s="491"/>
    </row>
    <row r="613" spans="1:9">
      <c r="I613" s="491"/>
    </row>
    <row r="614" spans="1:9">
      <c r="A614" s="1285" t="s">
        <v>1056</v>
      </c>
      <c r="B614" s="1285"/>
      <c r="C614" s="1285"/>
      <c r="D614" s="1285"/>
      <c r="E614" s="1285"/>
      <c r="F614" s="1285"/>
      <c r="G614" s="1285"/>
      <c r="H614" s="1029"/>
      <c r="I614" s="1155"/>
    </row>
    <row r="615" spans="1:9">
      <c r="A615" s="447"/>
      <c r="B615" s="447"/>
      <c r="I615" s="491"/>
    </row>
    <row r="616" spans="1:9">
      <c r="A616" s="483"/>
      <c r="B616" s="483"/>
      <c r="C616" s="483"/>
      <c r="D616" s="1319" t="s">
        <v>1109</v>
      </c>
      <c r="E616" s="1319"/>
      <c r="F616" s="1319"/>
      <c r="I616" s="491"/>
    </row>
    <row r="617" spans="1:9">
      <c r="A617" s="483"/>
      <c r="B617" s="483"/>
      <c r="C617" s="483"/>
      <c r="D617" s="1319"/>
      <c r="E617" s="1319"/>
      <c r="F617" s="1319"/>
      <c r="I617" s="491"/>
    </row>
    <row r="618" spans="1:9">
      <c r="C618" s="484"/>
      <c r="D618" s="1291" t="s">
        <v>1110</v>
      </c>
      <c r="E618" s="1291"/>
      <c r="F618" s="1291"/>
      <c r="I618" s="491"/>
    </row>
    <row r="619" spans="1:9">
      <c r="C619" s="484"/>
      <c r="D619" s="445"/>
      <c r="E619" s="445"/>
      <c r="F619" s="445"/>
      <c r="I619" s="491"/>
    </row>
    <row r="620" spans="1:9" ht="12.75" customHeight="1">
      <c r="A620" s="491"/>
      <c r="B620" s="486" t="s">
        <v>2742</v>
      </c>
      <c r="D620" s="1307" t="s">
        <v>1111</v>
      </c>
      <c r="E620" s="1307"/>
      <c r="F620" s="1307"/>
      <c r="I620" s="491"/>
    </row>
    <row r="621" spans="1:9">
      <c r="D621" s="1307"/>
      <c r="E621" s="1307"/>
      <c r="F621" s="1307"/>
      <c r="I621" s="491"/>
    </row>
    <row r="622" spans="1:9">
      <c r="I622" s="491"/>
    </row>
    <row r="623" spans="1:9">
      <c r="B623" s="486" t="s">
        <v>2742</v>
      </c>
      <c r="D623" s="1307" t="s">
        <v>1112</v>
      </c>
      <c r="E623" s="1307"/>
      <c r="F623" s="1307"/>
      <c r="I623" s="491"/>
    </row>
    <row r="624" spans="1:9">
      <c r="C624" s="501"/>
      <c r="D624" s="1307"/>
      <c r="E624" s="1307"/>
      <c r="F624" s="1307"/>
      <c r="I624" s="491"/>
    </row>
    <row r="625" spans="1:9">
      <c r="C625" s="501"/>
      <c r="I625" s="491"/>
    </row>
    <row r="626" spans="1:9">
      <c r="B626" s="486" t="s">
        <v>2743</v>
      </c>
      <c r="C626" s="501"/>
      <c r="D626" s="1307" t="s">
        <v>1113</v>
      </c>
      <c r="E626" s="1307"/>
      <c r="F626" s="1307"/>
      <c r="I626" s="491"/>
    </row>
    <row r="627" spans="1:9">
      <c r="C627" s="501"/>
      <c r="D627" s="1307"/>
      <c r="E627" s="1307"/>
      <c r="F627" s="1307"/>
      <c r="I627" s="501"/>
    </row>
    <row r="628" spans="1:9">
      <c r="C628" s="501"/>
      <c r="I628" s="491"/>
    </row>
    <row r="629" spans="1:9">
      <c r="A629" s="1285" t="s">
        <v>1057</v>
      </c>
      <c r="B629" s="1285"/>
      <c r="C629" s="1285"/>
      <c r="D629" s="1285"/>
      <c r="E629" s="1285"/>
      <c r="F629" s="1285"/>
      <c r="G629" s="1285"/>
      <c r="H629" s="1029"/>
      <c r="I629" s="1155"/>
    </row>
    <row r="630" spans="1:9">
      <c r="A630" s="483"/>
      <c r="B630" s="483"/>
      <c r="C630" s="483"/>
      <c r="I630" s="491"/>
    </row>
    <row r="631" spans="1:9">
      <c r="C631" s="491"/>
      <c r="D631" s="1290" t="s">
        <v>1114</v>
      </c>
      <c r="E631" s="1290"/>
      <c r="F631" s="1290"/>
      <c r="I631" s="491"/>
    </row>
    <row r="632" spans="1:9">
      <c r="A632" s="491"/>
      <c r="B632" s="491"/>
      <c r="D632" s="405"/>
      <c r="I632" s="491"/>
    </row>
    <row r="633" spans="1:9" ht="14.25" customHeight="1">
      <c r="A633" s="485"/>
      <c r="B633" s="486" t="s">
        <v>2742</v>
      </c>
      <c r="D633" s="1311" t="s">
        <v>2067</v>
      </c>
      <c r="E633" s="1311"/>
      <c r="F633" s="1311"/>
      <c r="I633" s="491"/>
    </row>
    <row r="634" spans="1:9">
      <c r="D634" s="1311"/>
      <c r="E634" s="1311"/>
      <c r="F634" s="1311"/>
      <c r="I634" s="491"/>
    </row>
    <row r="635" spans="1:9">
      <c r="D635" s="386"/>
      <c r="E635" s="1037" t="s">
        <v>1911</v>
      </c>
      <c r="F635" s="386"/>
      <c r="I635" s="491"/>
    </row>
    <row r="636" spans="1:9">
      <c r="D636" s="1282" t="s">
        <v>1910</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ht="14.4">
      <c r="A640" s="485"/>
      <c r="B640" s="486" t="s">
        <v>2743</v>
      </c>
      <c r="D640" s="1282" t="s">
        <v>1115</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ht="14.4">
      <c r="A643" s="485"/>
      <c r="B643" s="486" t="s">
        <v>2743</v>
      </c>
      <c r="C643" s="488"/>
      <c r="D643" s="1282" t="s">
        <v>1225</v>
      </c>
      <c r="E643" s="1282"/>
      <c r="F643" s="1282"/>
      <c r="I643" s="491"/>
    </row>
    <row r="644" spans="1:9" ht="14.4">
      <c r="A644" s="485"/>
      <c r="B644" s="485"/>
      <c r="C644" s="488"/>
      <c r="D644" s="1282"/>
      <c r="E644" s="1282"/>
      <c r="F644" s="1282"/>
      <c r="I644" s="491"/>
    </row>
    <row r="645" spans="1:9" ht="14.4">
      <c r="A645" s="485"/>
      <c r="B645" s="485"/>
      <c r="C645" s="488"/>
      <c r="D645" s="1282"/>
      <c r="E645" s="1282"/>
      <c r="F645" s="1282"/>
      <c r="I645" s="491"/>
    </row>
    <row r="646" spans="1:9">
      <c r="A646" s="488"/>
      <c r="B646" s="486" t="s">
        <v>2743</v>
      </c>
      <c r="C646" s="488"/>
      <c r="D646" s="1283" t="s">
        <v>1116</v>
      </c>
      <c r="E646" s="1283"/>
      <c r="F646" s="1283"/>
      <c r="I646" s="491"/>
    </row>
    <row r="647" spans="1:9">
      <c r="A647" s="488"/>
      <c r="B647" s="488"/>
      <c r="C647" s="488"/>
      <c r="D647" s="447"/>
      <c r="E647" s="447"/>
      <c r="F647" s="447"/>
      <c r="I647" s="491"/>
    </row>
    <row r="648" spans="1:9">
      <c r="A648" s="1285" t="s">
        <v>1058</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1146</v>
      </c>
      <c r="E650" s="1290"/>
      <c r="F650" s="1290"/>
      <c r="I650" s="491"/>
    </row>
    <row r="651" spans="1:9">
      <c r="A651" s="484"/>
      <c r="B651" s="484"/>
      <c r="C651" s="484"/>
      <c r="D651" s="1283" t="s">
        <v>1147</v>
      </c>
      <c r="E651" s="1283"/>
      <c r="F651" s="1283"/>
      <c r="I651" s="491"/>
    </row>
    <row r="652" spans="1:9">
      <c r="A652" s="484"/>
      <c r="B652" s="484"/>
      <c r="C652" s="484"/>
      <c r="D652" s="447"/>
      <c r="E652" s="447"/>
      <c r="F652" s="447"/>
      <c r="I652" s="491"/>
    </row>
    <row r="653" spans="1:9" ht="12.75" customHeight="1">
      <c r="B653" s="486" t="s">
        <v>2742</v>
      </c>
      <c r="C653" s="488"/>
      <c r="D653" s="1282" t="s">
        <v>1281</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55" customHeight="1">
      <c r="A657" s="485"/>
      <c r="B657" s="485"/>
      <c r="C657" s="488"/>
      <c r="D657" s="386"/>
      <c r="E657" s="386"/>
      <c r="F657" s="386"/>
      <c r="I657" s="491"/>
    </row>
    <row r="658" spans="1:9" ht="12.75" customHeight="1">
      <c r="A658" s="484"/>
      <c r="B658" s="486" t="s">
        <v>2742</v>
      </c>
      <c r="C658" s="488"/>
      <c r="D658" s="1282" t="s">
        <v>1283</v>
      </c>
      <c r="E658" s="1282"/>
      <c r="F658" s="1282"/>
      <c r="I658" s="491"/>
    </row>
    <row r="659" spans="1:9" ht="14.4">
      <c r="A659" s="484"/>
      <c r="B659" s="485"/>
      <c r="C659" s="488"/>
      <c r="D659" s="1282"/>
      <c r="E659" s="1282"/>
      <c r="F659" s="1282"/>
      <c r="I659" s="491"/>
    </row>
    <row r="660" spans="1:9" ht="14.4">
      <c r="A660" s="484"/>
      <c r="B660" s="485"/>
      <c r="C660" s="488"/>
      <c r="D660" s="1282"/>
      <c r="E660" s="1282"/>
      <c r="F660" s="1282"/>
      <c r="I660" s="491"/>
    </row>
    <row r="661" spans="1:9" ht="14.4">
      <c r="A661" s="484"/>
      <c r="B661" s="485"/>
      <c r="C661" s="488"/>
      <c r="D661" s="1282"/>
      <c r="E661" s="1282"/>
      <c r="F661" s="1282"/>
      <c r="I661" s="491"/>
    </row>
    <row r="662" spans="1:9" ht="14.4">
      <c r="A662" s="484"/>
      <c r="B662" s="485"/>
      <c r="C662" s="488"/>
      <c r="D662" s="1282"/>
      <c r="E662" s="1282"/>
      <c r="F662" s="1282"/>
      <c r="I662" s="491"/>
    </row>
    <row r="663" spans="1:9" ht="14.25" customHeight="1">
      <c r="A663" s="484"/>
      <c r="B663" s="485"/>
      <c r="C663" s="488"/>
      <c r="F663" s="387"/>
      <c r="I663" s="491"/>
    </row>
    <row r="664" spans="1:9" ht="12.75" customHeight="1">
      <c r="A664" s="484"/>
      <c r="B664" s="486" t="s">
        <v>2743</v>
      </c>
      <c r="C664" s="488"/>
      <c r="D664" s="1282" t="s">
        <v>1282</v>
      </c>
      <c r="E664" s="1282"/>
      <c r="F664" s="1282"/>
      <c r="I664" s="491"/>
    </row>
    <row r="665" spans="1:9" ht="14.4">
      <c r="A665" s="484"/>
      <c r="B665" s="485"/>
      <c r="C665" s="488"/>
      <c r="D665" s="1282"/>
      <c r="E665" s="1282"/>
      <c r="F665" s="1282"/>
      <c r="I665" s="491"/>
    </row>
    <row r="666" spans="1:9" ht="14.4">
      <c r="A666" s="485"/>
      <c r="B666" s="485"/>
      <c r="C666" s="488"/>
      <c r="D666" s="1282"/>
      <c r="E666" s="1282"/>
      <c r="F666" s="1282"/>
      <c r="I666" s="491"/>
    </row>
    <row r="667" spans="1:9" ht="14.4">
      <c r="A667" s="485"/>
      <c r="B667" s="485"/>
      <c r="C667" s="488"/>
      <c r="D667" s="1282"/>
      <c r="E667" s="1282"/>
      <c r="F667" s="1282"/>
      <c r="I667" s="491"/>
    </row>
    <row r="668" spans="1:9" ht="14.4">
      <c r="A668" s="485"/>
      <c r="B668" s="485"/>
      <c r="C668" s="488"/>
      <c r="D668" s="446"/>
      <c r="E668" s="446"/>
      <c r="F668" s="446"/>
      <c r="I668" s="491"/>
    </row>
    <row r="669" spans="1:9" ht="12.75" customHeight="1">
      <c r="A669" s="484"/>
      <c r="B669" s="486" t="s">
        <v>2743</v>
      </c>
      <c r="C669" s="488"/>
      <c r="D669" s="1282" t="s">
        <v>2068</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1059</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1076</v>
      </c>
      <c r="E683" s="1283"/>
      <c r="F683" s="1283"/>
      <c r="H683" s="502"/>
      <c r="I683" s="484"/>
      <c r="J683" s="502"/>
      <c r="K683" s="502"/>
    </row>
    <row r="684" spans="1:11">
      <c r="A684" s="484"/>
      <c r="B684" s="484"/>
      <c r="C684" s="484"/>
      <c r="H684" s="502"/>
      <c r="I684" s="484"/>
      <c r="J684" s="502"/>
      <c r="K684" s="502"/>
    </row>
    <row r="685" spans="1:11" ht="14.4">
      <c r="A685" s="485"/>
      <c r="B685" s="486" t="s">
        <v>2743</v>
      </c>
      <c r="C685" s="484"/>
      <c r="D685" s="1283" t="s">
        <v>885</v>
      </c>
      <c r="E685" s="1283"/>
      <c r="F685" s="1283"/>
      <c r="H685" s="502"/>
      <c r="I685" s="484"/>
      <c r="J685" s="502"/>
      <c r="K685" s="502"/>
    </row>
    <row r="686" spans="1:11">
      <c r="A686" s="484"/>
      <c r="B686" s="484"/>
      <c r="C686" s="484"/>
      <c r="D686" s="1283" t="s">
        <v>894</v>
      </c>
      <c r="E686" s="1283"/>
      <c r="F686" s="1283"/>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4">
      <c r="A690" s="485"/>
      <c r="B690" s="486" t="s">
        <v>2743</v>
      </c>
      <c r="C690" s="484"/>
      <c r="D690" s="1282" t="s">
        <v>2069</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ht="14.4">
      <c r="A694" s="485"/>
      <c r="B694" s="486" t="s">
        <v>2742</v>
      </c>
      <c r="C694" s="484"/>
      <c r="D694" s="1283" t="s">
        <v>917</v>
      </c>
      <c r="E694" s="1283"/>
      <c r="F694" s="1283"/>
      <c r="H694" s="502"/>
      <c r="I694" s="484"/>
      <c r="J694" s="502"/>
      <c r="K694" s="502"/>
    </row>
    <row r="695" spans="1:11" ht="14.4">
      <c r="A695" s="485"/>
      <c r="B695" s="485"/>
      <c r="C695" s="484"/>
      <c r="D695" s="1283" t="s">
        <v>894</v>
      </c>
      <c r="E695" s="1283"/>
      <c r="F695" s="1283"/>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4">
      <c r="A698" s="485"/>
      <c r="B698" s="486" t="s">
        <v>2743</v>
      </c>
      <c r="C698" s="484"/>
      <c r="D698" s="1283" t="s">
        <v>2472</v>
      </c>
      <c r="E698" s="1283"/>
      <c r="F698" s="1283"/>
      <c r="H698" s="502"/>
      <c r="I698" s="484"/>
      <c r="J698" s="502"/>
      <c r="K698" s="502"/>
    </row>
    <row r="699" spans="1:11" ht="14.4">
      <c r="A699" s="485"/>
      <c r="B699" s="485"/>
      <c r="C699" s="484"/>
      <c r="D699" s="1283" t="s">
        <v>894</v>
      </c>
      <c r="E699" s="1283"/>
      <c r="F699" s="1283"/>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4">
      <c r="A702" s="485"/>
      <c r="B702" s="486" t="s">
        <v>2742</v>
      </c>
      <c r="C702" s="484"/>
      <c r="D702" s="1282" t="s">
        <v>2247</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2743</v>
      </c>
      <c r="C709" s="484"/>
      <c r="D709" s="1282" t="s">
        <v>1201</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ht="14.4">
      <c r="A712" s="485"/>
      <c r="B712" s="486" t="s">
        <v>2743</v>
      </c>
      <c r="C712" s="484"/>
      <c r="D712" s="1282" t="s">
        <v>1077</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2743</v>
      </c>
      <c r="C725" s="484"/>
      <c r="D725" s="1282" t="s">
        <v>2465</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2743</v>
      </c>
      <c r="C729" s="484"/>
      <c r="D729" s="1282" t="s">
        <v>2464</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2743</v>
      </c>
      <c r="C733" s="484"/>
      <c r="D733" s="1282" t="s">
        <v>2463</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ht="14.4">
      <c r="A738" s="485"/>
      <c r="B738" s="486" t="s">
        <v>2743</v>
      </c>
      <c r="C738" s="484"/>
      <c r="D738" s="1282" t="s">
        <v>1078</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ht="14.4">
      <c r="A744" s="485"/>
      <c r="B744" s="486" t="s">
        <v>2743</v>
      </c>
      <c r="C744" s="484"/>
      <c r="D744" s="1282" t="s">
        <v>2147</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2076</v>
      </c>
      <c r="E751" s="1320"/>
      <c r="F751" s="1320"/>
      <c r="H751" s="502"/>
      <c r="I751" s="484"/>
      <c r="J751" s="502"/>
      <c r="K751" s="502"/>
    </row>
    <row r="752" spans="1:11">
      <c r="A752" s="484"/>
      <c r="B752" s="484"/>
      <c r="C752" s="484"/>
      <c r="D752" s="342"/>
      <c r="H752" s="502"/>
      <c r="I752" s="484"/>
      <c r="J752" s="502"/>
      <c r="K752" s="502"/>
    </row>
    <row r="753" spans="1:11">
      <c r="A753" s="1289" t="s">
        <v>1060</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8" customHeight="1">
      <c r="C755" s="484"/>
      <c r="D755" s="1284" t="s">
        <v>1070</v>
      </c>
      <c r="E755" s="1284"/>
      <c r="F755" s="1284"/>
      <c r="G755" s="502"/>
      <c r="H755" s="502"/>
      <c r="I755" s="484"/>
      <c r="J755" s="502"/>
      <c r="K755" s="502"/>
    </row>
    <row r="756" spans="1:11">
      <c r="A756" s="484"/>
      <c r="B756" s="484"/>
      <c r="C756" s="484"/>
      <c r="D756" s="1288" t="s">
        <v>1071</v>
      </c>
      <c r="E756" s="1288"/>
      <c r="F756" s="1288"/>
      <c r="G756" s="502"/>
      <c r="H756" s="502"/>
      <c r="I756" s="484"/>
      <c r="J756" s="502"/>
      <c r="K756" s="502"/>
    </row>
    <row r="757" spans="1:11">
      <c r="A757" s="484"/>
      <c r="B757" s="484"/>
      <c r="C757" s="484"/>
      <c r="G757" s="502"/>
      <c r="H757" s="502"/>
      <c r="I757" s="484"/>
      <c r="J757" s="502"/>
      <c r="K757" s="502"/>
    </row>
    <row r="758" spans="1:11" ht="14.4">
      <c r="A758" s="485"/>
      <c r="B758" s="486" t="s">
        <v>2742</v>
      </c>
      <c r="D758" s="1282" t="s">
        <v>1072</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ht="14.4">
      <c r="A765" s="504"/>
      <c r="B765" s="486" t="s">
        <v>2743</v>
      </c>
      <c r="C765" s="505"/>
      <c r="D765" s="1282" t="s">
        <v>1241</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ht="14.4">
      <c r="A770" s="485"/>
      <c r="B770" s="486" t="s">
        <v>2742</v>
      </c>
      <c r="C770" s="505"/>
      <c r="D770" s="1307" t="s">
        <v>1242</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ht="14.4">
      <c r="A774" s="485"/>
      <c r="B774" s="486" t="s">
        <v>2743</v>
      </c>
      <c r="D774" s="1282" t="s">
        <v>1198</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2743</v>
      </c>
      <c r="D777" s="1282" t="s">
        <v>1215</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1801</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1855</v>
      </c>
      <c r="E783" s="1313"/>
      <c r="F783" s="1313"/>
      <c r="G783" s="3"/>
      <c r="I783" s="491"/>
    </row>
    <row r="784" spans="1:11">
      <c r="A784" s="57"/>
      <c r="B784" s="57"/>
      <c r="C784" s="355"/>
      <c r="D784" s="1294" t="s">
        <v>1755</v>
      </c>
      <c r="E784" s="1294"/>
      <c r="F784" s="1294"/>
      <c r="G784" s="3"/>
      <c r="I784" s="491"/>
    </row>
    <row r="785" spans="1:9">
      <c r="A785" s="57"/>
      <c r="B785" s="57"/>
      <c r="C785" s="355"/>
      <c r="D785" s="448"/>
      <c r="E785" s="448"/>
      <c r="F785" s="448"/>
      <c r="G785" s="3"/>
      <c r="I785" s="491"/>
    </row>
    <row r="786" spans="1:9">
      <c r="A786" s="57"/>
      <c r="B786" s="486" t="s">
        <v>2743</v>
      </c>
      <c r="C786" s="355"/>
      <c r="D786" s="1315" t="s">
        <v>1756</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2743</v>
      </c>
      <c r="C790" s="172"/>
      <c r="D790" s="1315" t="s">
        <v>1757</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ht="14.4">
      <c r="A794" s="175"/>
      <c r="B794" s="486" t="s">
        <v>2743</v>
      </c>
      <c r="C794" s="990"/>
      <c r="D794" s="1315" t="s">
        <v>1758</v>
      </c>
      <c r="E794" s="1315"/>
      <c r="F794" s="1315"/>
      <c r="G794" s="989"/>
      <c r="I794" s="484"/>
    </row>
    <row r="795" spans="1:9" ht="14.4">
      <c r="A795" s="175"/>
      <c r="B795" s="175"/>
      <c r="C795" s="990"/>
      <c r="D795" s="1315"/>
      <c r="E795" s="1315"/>
      <c r="F795" s="1315"/>
      <c r="G795" s="989"/>
      <c r="I795" s="491"/>
    </row>
    <row r="796" spans="1:9" ht="14.4">
      <c r="A796" s="175"/>
      <c r="B796" s="175"/>
      <c r="C796" s="990"/>
      <c r="D796" s="1315"/>
      <c r="E796" s="1315"/>
      <c r="F796" s="1315"/>
      <c r="G796" s="989"/>
      <c r="I796" s="491"/>
    </row>
    <row r="797" spans="1:9" ht="14.4">
      <c r="A797" s="175"/>
      <c r="B797" s="175"/>
      <c r="C797" s="990"/>
      <c r="D797" s="118"/>
      <c r="E797" s="3"/>
      <c r="F797" s="3"/>
      <c r="G797" s="989"/>
      <c r="I797" s="491"/>
    </row>
    <row r="798" spans="1:9" ht="14.4">
      <c r="A798" s="175"/>
      <c r="B798" s="486" t="s">
        <v>2742</v>
      </c>
      <c r="C798" s="990"/>
      <c r="D798" s="1315" t="s">
        <v>1759</v>
      </c>
      <c r="E798" s="1315"/>
      <c r="F798" s="1315"/>
      <c r="G798" s="989"/>
      <c r="I798" s="484"/>
    </row>
    <row r="799" spans="1:9" ht="14.4">
      <c r="A799" s="175"/>
      <c r="B799" s="175"/>
      <c r="C799" s="990"/>
      <c r="D799" s="1315"/>
      <c r="E799" s="1315"/>
      <c r="F799" s="1315"/>
      <c r="G799" s="989"/>
      <c r="I799" s="491"/>
    </row>
    <row r="800" spans="1:9" ht="14.4">
      <c r="A800" s="175"/>
      <c r="B800" s="175"/>
      <c r="C800" s="990"/>
      <c r="D800" s="1315"/>
      <c r="E800" s="1315"/>
      <c r="F800" s="1315"/>
      <c r="G800" s="989"/>
      <c r="I800" s="491"/>
    </row>
    <row r="801" spans="1:9" ht="14.4">
      <c r="A801" s="175"/>
      <c r="B801" s="175"/>
      <c r="C801" s="990"/>
      <c r="D801" s="1315"/>
      <c r="E801" s="1315"/>
      <c r="F801" s="1315"/>
      <c r="G801" s="989"/>
      <c r="I801" s="491"/>
    </row>
    <row r="802" spans="1:9" ht="14.4">
      <c r="A802" s="175"/>
      <c r="B802" s="175"/>
      <c r="C802" s="990"/>
      <c r="D802" s="1315"/>
      <c r="E802" s="1315"/>
      <c r="F802" s="1315"/>
      <c r="G802" s="989"/>
      <c r="I802" s="491"/>
    </row>
    <row r="803" spans="1:9" ht="14.4">
      <c r="A803" s="175"/>
      <c r="B803" s="175"/>
      <c r="C803" s="990"/>
      <c r="D803" s="1315"/>
      <c r="E803" s="1315"/>
      <c r="F803" s="1315"/>
      <c r="G803" s="989"/>
      <c r="I803" s="491"/>
    </row>
    <row r="804" spans="1:9" ht="14.4">
      <c r="A804" s="175"/>
      <c r="B804" s="175"/>
      <c r="C804" s="990"/>
      <c r="D804" s="1315" t="s">
        <v>1802</v>
      </c>
      <c r="E804" s="1315"/>
      <c r="F804" s="1315"/>
      <c r="G804" s="989"/>
      <c r="I804" s="491"/>
    </row>
    <row r="805" spans="1:9" ht="14.4">
      <c r="A805" s="175"/>
      <c r="B805" s="175"/>
      <c r="C805" s="990"/>
      <c r="D805" s="1315"/>
      <c r="E805" s="1315"/>
      <c r="F805" s="1315"/>
      <c r="G805" s="989"/>
      <c r="I805" s="491"/>
    </row>
    <row r="806" spans="1:9" ht="14.4">
      <c r="A806" s="175"/>
      <c r="B806" s="175"/>
      <c r="C806" s="990"/>
      <c r="D806" s="1315"/>
      <c r="E806" s="1315"/>
      <c r="F806" s="1315"/>
      <c r="G806" s="989"/>
      <c r="I806" s="491"/>
    </row>
    <row r="807" spans="1:9" ht="14.4">
      <c r="A807" s="175"/>
      <c r="B807" s="355"/>
      <c r="C807" s="990"/>
      <c r="D807" s="991"/>
      <c r="E807" s="991"/>
      <c r="F807" s="991"/>
      <c r="G807" s="989"/>
      <c r="I807" s="491"/>
    </row>
    <row r="808" spans="1:9" ht="14.4">
      <c r="A808" s="175"/>
      <c r="B808" s="486" t="s">
        <v>2743</v>
      </c>
      <c r="C808" s="990"/>
      <c r="D808" s="1315" t="s">
        <v>1760</v>
      </c>
      <c r="E808" s="1315"/>
      <c r="F808" s="1315"/>
      <c r="G808" s="989"/>
      <c r="I808" s="484"/>
    </row>
    <row r="809" spans="1:9" ht="14.4">
      <c r="A809" s="175"/>
      <c r="B809" s="175"/>
      <c r="C809" s="990"/>
      <c r="D809" s="1315"/>
      <c r="E809" s="1315"/>
      <c r="F809" s="1315"/>
      <c r="G809" s="989"/>
      <c r="I809" s="491"/>
    </row>
    <row r="810" spans="1:9" ht="14.4">
      <c r="A810" s="175"/>
      <c r="B810" s="175"/>
      <c r="C810" s="990"/>
      <c r="D810" s="1315"/>
      <c r="E810" s="1315"/>
      <c r="F810" s="1315"/>
      <c r="G810" s="989"/>
      <c r="I810" s="491"/>
    </row>
    <row r="811" spans="1:9" ht="14.4">
      <c r="A811" s="175"/>
      <c r="B811" s="175"/>
      <c r="C811" s="990"/>
      <c r="D811" s="1315"/>
      <c r="E811" s="1315"/>
      <c r="F811" s="1315"/>
      <c r="G811" s="989"/>
      <c r="I811" s="491"/>
    </row>
    <row r="812" spans="1:9" ht="14.4">
      <c r="A812" s="175"/>
      <c r="B812" s="175"/>
      <c r="C812" s="990"/>
      <c r="D812" s="1315"/>
      <c r="E812" s="1315"/>
      <c r="F812" s="1315"/>
      <c r="G812" s="989"/>
      <c r="I812" s="491"/>
    </row>
    <row r="813" spans="1:9" ht="14.4">
      <c r="A813" s="175"/>
      <c r="B813" s="175"/>
      <c r="C813" s="990"/>
      <c r="D813" s="1315"/>
      <c r="E813" s="1315"/>
      <c r="F813" s="1315"/>
      <c r="G813" s="989"/>
      <c r="I813" s="491"/>
    </row>
    <row r="814" spans="1:9" ht="14.4">
      <c r="A814" s="175"/>
      <c r="B814" s="175"/>
      <c r="C814" s="990"/>
      <c r="D814" s="983"/>
      <c r="E814" s="983"/>
      <c r="F814" s="983"/>
      <c r="G814" s="989"/>
      <c r="I814" s="491"/>
    </row>
    <row r="815" spans="1:9" ht="14.4">
      <c r="A815" s="175"/>
      <c r="B815" s="486" t="s">
        <v>2743</v>
      </c>
      <c r="C815" s="990"/>
      <c r="D815" s="1315" t="s">
        <v>1761</v>
      </c>
      <c r="E815" s="1315"/>
      <c r="F815" s="1315"/>
      <c r="G815" s="989"/>
      <c r="I815" s="484"/>
    </row>
    <row r="816" spans="1:9" ht="14.4">
      <c r="A816" s="175"/>
      <c r="B816" s="175"/>
      <c r="C816" s="990"/>
      <c r="D816" s="1315"/>
      <c r="E816" s="1315"/>
      <c r="F816" s="1315"/>
      <c r="G816" s="989"/>
      <c r="I816" s="491"/>
    </row>
    <row r="817" spans="1:9" ht="14.4">
      <c r="A817" s="175"/>
      <c r="B817" s="175"/>
      <c r="C817" s="990"/>
      <c r="D817" s="1315"/>
      <c r="E817" s="1315"/>
      <c r="F817" s="1315"/>
      <c r="G817" s="989"/>
      <c r="I817" s="491"/>
    </row>
    <row r="818" spans="1:9" ht="14.4">
      <c r="A818" s="175"/>
      <c r="B818" s="175"/>
      <c r="C818" s="990"/>
      <c r="D818" s="1315"/>
      <c r="E818" s="1315"/>
      <c r="F818" s="1315"/>
      <c r="G818" s="989"/>
      <c r="I818" s="491"/>
    </row>
    <row r="819" spans="1:9" ht="14.4">
      <c r="A819" s="175"/>
      <c r="B819" s="175"/>
      <c r="C819" s="990"/>
      <c r="D819" s="1315"/>
      <c r="E819" s="1315"/>
      <c r="F819" s="1315"/>
      <c r="G819" s="989"/>
      <c r="I819" s="491"/>
    </row>
    <row r="820" spans="1:9" ht="14.4">
      <c r="A820" s="175"/>
      <c r="B820" s="175"/>
      <c r="C820" s="990"/>
      <c r="D820" s="1315"/>
      <c r="E820" s="1315"/>
      <c r="F820" s="1315"/>
      <c r="G820" s="989"/>
      <c r="I820" s="491"/>
    </row>
    <row r="821" spans="1:9" ht="14.4">
      <c r="A821" s="175"/>
      <c r="B821" s="175"/>
      <c r="C821" s="990"/>
      <c r="D821" s="983"/>
      <c r="E821" s="983"/>
      <c r="F821" s="983"/>
      <c r="G821" s="989"/>
      <c r="I821" s="491"/>
    </row>
    <row r="822" spans="1:9" ht="14.4">
      <c r="A822" s="175"/>
      <c r="B822" s="486" t="s">
        <v>2743</v>
      </c>
      <c r="C822" s="990"/>
      <c r="D822" s="1287" t="s">
        <v>1762</v>
      </c>
      <c r="E822" s="1287"/>
      <c r="F822" s="1287"/>
      <c r="G822" s="989"/>
      <c r="I822" s="484"/>
    </row>
    <row r="823" spans="1:9" ht="14.4">
      <c r="A823" s="175"/>
      <c r="B823" s="175"/>
      <c r="C823" s="990"/>
      <c r="D823" s="1287"/>
      <c r="E823" s="1287"/>
      <c r="F823" s="1287"/>
      <c r="G823" s="989"/>
      <c r="I823" s="491"/>
    </row>
    <row r="824" spans="1:9">
      <c r="A824" s="13"/>
      <c r="B824" s="13"/>
      <c r="C824" s="990"/>
      <c r="D824" s="1287"/>
      <c r="E824" s="1287"/>
      <c r="F824" s="1287"/>
      <c r="G824" s="989"/>
      <c r="I824" s="491"/>
    </row>
    <row r="825" spans="1:9" ht="14.4">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1763</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1803</v>
      </c>
      <c r="E831" s="1312"/>
      <c r="F831" s="1312"/>
      <c r="G831" s="3"/>
      <c r="I831" s="491"/>
    </row>
    <row r="832" spans="1:9" ht="14.25" customHeight="1">
      <c r="A832" s="175"/>
      <c r="B832" s="175"/>
      <c r="C832" s="355"/>
      <c r="D832" s="1259" t="s">
        <v>1764</v>
      </c>
      <c r="E832" s="1259"/>
      <c r="F832" s="1259"/>
      <c r="G832" s="3"/>
      <c r="I832" s="491"/>
    </row>
    <row r="833" spans="1:9" ht="12.75" customHeight="1">
      <c r="A833" s="175"/>
      <c r="B833" s="175"/>
      <c r="C833" s="355"/>
      <c r="D833" s="442"/>
      <c r="E833" s="442"/>
      <c r="F833" s="442"/>
      <c r="G833" s="3"/>
      <c r="I833" s="491"/>
    </row>
    <row r="834" spans="1:9" ht="12.75" customHeight="1">
      <c r="A834" s="355"/>
      <c r="B834" s="486" t="s">
        <v>2742</v>
      </c>
      <c r="C834" s="990"/>
      <c r="D834" s="1259" t="s">
        <v>1765</v>
      </c>
      <c r="E834" s="1259"/>
      <c r="F834" s="1259"/>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17" t="s">
        <v>2077</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2742</v>
      </c>
      <c r="C848" s="990"/>
      <c r="D848" s="1259" t="s">
        <v>1766</v>
      </c>
      <c r="E848" s="1259"/>
      <c r="F848" s="1259"/>
      <c r="G848" s="3"/>
      <c r="I848" s="491" t="s">
        <v>1883</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2743</v>
      </c>
      <c r="C852" s="990"/>
      <c r="D852" s="1312" t="s">
        <v>1767</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2070</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2743</v>
      </c>
      <c r="C861" s="990"/>
      <c r="D861" s="1259" t="s">
        <v>1768</v>
      </c>
      <c r="E861" s="1259"/>
      <c r="F861" s="1259"/>
      <c r="G861" s="3"/>
      <c r="I861" s="491" t="s">
        <v>1881</v>
      </c>
    </row>
    <row r="862" spans="1:9" ht="12.75" customHeight="1">
      <c r="A862" s="175"/>
      <c r="B862" s="175"/>
      <c r="C862" s="990"/>
      <c r="D862" s="1259" t="s">
        <v>1769</v>
      </c>
      <c r="E862" s="1259"/>
      <c r="F862" s="1259"/>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2743</v>
      </c>
      <c r="C865" s="990"/>
      <c r="D865" s="1259" t="s">
        <v>1770</v>
      </c>
      <c r="E865" s="1259"/>
      <c r="F865" s="1259"/>
      <c r="G865" s="3"/>
      <c r="I865" s="491" t="s">
        <v>1884</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1804</v>
      </c>
      <c r="E872" s="1321"/>
      <c r="F872" s="1321"/>
      <c r="G872" s="989"/>
      <c r="I872" s="491"/>
    </row>
    <row r="873" spans="1:9" ht="12.75" customHeight="1">
      <c r="A873" s="355"/>
      <c r="B873" s="355"/>
      <c r="C873" s="174"/>
      <c r="D873" s="1316" t="s">
        <v>1772</v>
      </c>
      <c r="E873" s="1316"/>
      <c r="F873" s="1316"/>
      <c r="G873" s="989"/>
      <c r="I873" s="491"/>
    </row>
    <row r="874" spans="1:9" ht="12.75" customHeight="1">
      <c r="A874" s="355"/>
      <c r="B874" s="355"/>
      <c r="C874" s="174"/>
      <c r="D874" s="996"/>
      <c r="E874" s="996"/>
      <c r="F874" s="996"/>
      <c r="G874" s="989"/>
      <c r="I874" s="491"/>
    </row>
    <row r="875" spans="1:9" ht="12.75" customHeight="1">
      <c r="A875" s="175"/>
      <c r="B875" s="486" t="s">
        <v>2742</v>
      </c>
      <c r="C875" s="355"/>
      <c r="D875" s="1299" t="s">
        <v>1773</v>
      </c>
      <c r="E875" s="1299"/>
      <c r="F875" s="129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2742</v>
      </c>
      <c r="C878" s="355"/>
      <c r="D878" s="1259" t="s">
        <v>1774</v>
      </c>
      <c r="E878" s="1309"/>
      <c r="F878" s="1309"/>
      <c r="G878" s="3"/>
      <c r="I878" s="491" t="s">
        <v>1884</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2743</v>
      </c>
      <c r="C881" s="355"/>
      <c r="D881" s="1310" t="s">
        <v>1775</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2070</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2743</v>
      </c>
      <c r="C890" s="355"/>
      <c r="D890" s="1300" t="s">
        <v>1768</v>
      </c>
      <c r="E890" s="1300"/>
      <c r="F890" s="1300"/>
      <c r="G890" s="989"/>
      <c r="I890" s="491"/>
    </row>
    <row r="891" spans="1:9" ht="12.75" customHeight="1">
      <c r="A891" s="175"/>
      <c r="B891" s="175"/>
      <c r="C891" s="355"/>
      <c r="D891" s="1300" t="s">
        <v>1769</v>
      </c>
      <c r="E891" s="1300"/>
      <c r="F891" s="1300"/>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2743</v>
      </c>
      <c r="C894" s="355"/>
      <c r="D894" s="1259" t="s">
        <v>1770</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1805</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1811</v>
      </c>
      <c r="E901" s="1324"/>
      <c r="F901" s="1324"/>
      <c r="G901" s="57"/>
      <c r="I901" s="491"/>
    </row>
    <row r="902" spans="1:9" ht="12.75" customHeight="1">
      <c r="A902" s="57"/>
      <c r="B902" s="57"/>
      <c r="C902" s="57"/>
      <c r="D902" s="982"/>
      <c r="E902" s="982"/>
      <c r="F902" s="982"/>
      <c r="G902" s="57"/>
      <c r="I902" s="491"/>
    </row>
    <row r="903" spans="1:9" ht="12.75" customHeight="1">
      <c r="A903" s="57"/>
      <c r="B903" s="486" t="s">
        <v>2743</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1806</v>
      </c>
      <c r="E905" s="1324"/>
      <c r="F905" s="1324"/>
      <c r="G905" s="989"/>
      <c r="I905" s="491"/>
    </row>
    <row r="906" spans="1:9" ht="12.75" customHeight="1">
      <c r="A906" s="172"/>
      <c r="B906" s="172"/>
      <c r="C906" s="172"/>
      <c r="D906" s="1299" t="s">
        <v>1776</v>
      </c>
      <c r="E906" s="1299"/>
      <c r="F906" s="1299"/>
      <c r="G906" s="989"/>
      <c r="I906" s="491"/>
    </row>
    <row r="907" spans="1:9" ht="12.75" customHeight="1">
      <c r="A907" s="990"/>
      <c r="B907" s="990"/>
      <c r="C907" s="990"/>
      <c r="D907" s="2"/>
      <c r="E907" s="989"/>
      <c r="F907" s="989"/>
      <c r="G907" s="989"/>
      <c r="I907" s="491"/>
    </row>
    <row r="908" spans="1:9" ht="12.75" customHeight="1">
      <c r="A908" s="175"/>
      <c r="B908" s="486" t="s">
        <v>2742</v>
      </c>
      <c r="C908" s="355"/>
      <c r="D908" s="1259" t="s">
        <v>1780</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1779</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2742</v>
      </c>
      <c r="C913" s="174"/>
      <c r="D913" s="1263" t="s">
        <v>1777</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2743</v>
      </c>
      <c r="C922" s="990"/>
      <c r="D922" s="1259" t="s">
        <v>1781</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2743</v>
      </c>
      <c r="C925" s="990"/>
      <c r="D925" s="1287" t="s">
        <v>1782</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2743</v>
      </c>
      <c r="C930" s="990"/>
      <c r="D930" s="1299" t="s">
        <v>2071</v>
      </c>
      <c r="E930" s="1299"/>
      <c r="F930" s="1299"/>
      <c r="G930" s="989"/>
      <c r="I930" s="491"/>
    </row>
    <row r="931" spans="1:9" ht="12.75" customHeight="1">
      <c r="A931" s="990"/>
      <c r="B931" s="990"/>
      <c r="C931" s="990"/>
      <c r="D931" s="118"/>
      <c r="E931" s="989"/>
      <c r="F931" s="989"/>
      <c r="G931" s="989"/>
      <c r="I931" s="491"/>
    </row>
    <row r="932" spans="1:9" ht="12.75" customHeight="1">
      <c r="A932" s="990"/>
      <c r="B932" s="486" t="s">
        <v>2743</v>
      </c>
      <c r="C932" s="990"/>
      <c r="D932" s="1299" t="s">
        <v>2072</v>
      </c>
      <c r="E932" s="1299"/>
      <c r="F932" s="1299"/>
      <c r="G932" s="989"/>
      <c r="I932" s="491"/>
    </row>
    <row r="933" spans="1:9" ht="12.75" customHeight="1">
      <c r="A933" s="174"/>
      <c r="B933" s="174"/>
      <c r="C933" s="174"/>
      <c r="D933" s="2"/>
      <c r="E933" s="3"/>
      <c r="F933" s="989"/>
      <c r="G933" s="989"/>
      <c r="I933" s="491"/>
    </row>
    <row r="934" spans="1:9" ht="12.75" customHeight="1">
      <c r="A934" s="998"/>
      <c r="B934" s="486" t="s">
        <v>2743</v>
      </c>
      <c r="C934" s="999"/>
      <c r="D934" s="1263" t="s">
        <v>1778</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2742</v>
      </c>
      <c r="C944" s="174"/>
      <c r="D944" s="1318" t="s">
        <v>1887</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2742</v>
      </c>
      <c r="C952" s="174"/>
      <c r="D952" s="1262" t="s">
        <v>2139</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2743</v>
      </c>
      <c r="C959" s="990"/>
      <c r="D959" s="1287" t="s">
        <v>1783</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2742</v>
      </c>
      <c r="C964" s="174"/>
      <c r="D964" s="1263" t="s">
        <v>1886</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1784</v>
      </c>
      <c r="E969" s="1321"/>
      <c r="F969" s="1321"/>
      <c r="G969" s="3"/>
      <c r="I969" s="491"/>
    </row>
    <row r="970" spans="1:9" ht="12.75" customHeight="1">
      <c r="A970" s="175"/>
      <c r="B970" s="486" t="s">
        <v>2743</v>
      </c>
      <c r="C970" s="355"/>
      <c r="D970" s="1299" t="s">
        <v>1807</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1785</v>
      </c>
      <c r="E972" s="1321"/>
      <c r="F972" s="1321"/>
      <c r="G972"/>
      <c r="I972" s="491"/>
    </row>
    <row r="973" spans="1:9" ht="12.75" customHeight="1">
      <c r="A973" s="175"/>
      <c r="B973" s="486" t="s">
        <v>2743</v>
      </c>
      <c r="C973" s="355"/>
      <c r="D973" s="1259" t="s">
        <v>2073</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1786</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1808</v>
      </c>
      <c r="E991" s="1321"/>
      <c r="F991" s="1321"/>
      <c r="G991" s="3"/>
      <c r="I991" s="491"/>
    </row>
    <row r="992" spans="1:9" ht="12.75" customHeight="1">
      <c r="A992" s="172"/>
      <c r="B992" s="172"/>
      <c r="C992" s="172"/>
      <c r="D992" s="1299" t="s">
        <v>1787</v>
      </c>
      <c r="E992" s="1299"/>
      <c r="F992" s="1299"/>
      <c r="G992" s="3"/>
      <c r="I992" s="491"/>
    </row>
    <row r="993" spans="1:9" ht="12.75" customHeight="1">
      <c r="A993" s="172"/>
      <c r="B993" s="172"/>
      <c r="C993" s="172"/>
      <c r="D993" s="3"/>
      <c r="E993" s="3"/>
      <c r="F993" s="989"/>
      <c r="G993"/>
      <c r="I993" s="491"/>
    </row>
    <row r="994" spans="1:9" ht="12.75" customHeight="1">
      <c r="A994" s="355"/>
      <c r="B994" s="486" t="s">
        <v>2742</v>
      </c>
      <c r="C994" s="355"/>
      <c r="D994" s="1323" t="s">
        <v>1916</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1917</v>
      </c>
      <c r="F996" s="1039"/>
      <c r="G996"/>
      <c r="I996" s="491"/>
    </row>
    <row r="997" spans="1:9" ht="12.75" customHeight="1">
      <c r="A997" s="355"/>
      <c r="B997" s="355"/>
      <c r="C997" s="355"/>
      <c r="D997" s="1265" t="s">
        <v>1915</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2743</v>
      </c>
      <c r="C1002" s="174"/>
      <c r="D1002" s="1259" t="s">
        <v>1788</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2743</v>
      </c>
      <c r="C1007" s="174"/>
      <c r="D1007" s="1259" t="s">
        <v>2233</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2742</v>
      </c>
      <c r="C1010" s="355"/>
      <c r="D1010" s="1299" t="s">
        <v>1789</v>
      </c>
      <c r="E1010" s="1299"/>
      <c r="F1010" s="1299"/>
      <c r="G1010"/>
      <c r="I1010" s="491"/>
    </row>
    <row r="1011" spans="1:9" ht="12.75" customHeight="1">
      <c r="A1011" s="355"/>
      <c r="B1011" s="355"/>
      <c r="C1011" s="355"/>
      <c r="D1011" s="3"/>
      <c r="E1011" s="3"/>
      <c r="F1011" s="3"/>
      <c r="G1011"/>
      <c r="I1011" s="491"/>
    </row>
    <row r="1012" spans="1:9" ht="12.75" customHeight="1">
      <c r="A1012" s="175"/>
      <c r="B1012" s="486" t="s">
        <v>2743</v>
      </c>
      <c r="C1012" s="355"/>
      <c r="D1012" s="1299" t="s">
        <v>1790</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2742</v>
      </c>
      <c r="C1014" s="355"/>
      <c r="D1014" s="1299" t="s">
        <v>1791</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2743</v>
      </c>
      <c r="C1016" s="355"/>
      <c r="D1016" s="1259" t="s">
        <v>1792</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2743</v>
      </c>
      <c r="C1019" s="1001"/>
      <c r="D1019" s="1315" t="s">
        <v>1793</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2743</v>
      </c>
      <c r="C1022" s="1001"/>
      <c r="D1022" s="1322" t="s">
        <v>1794</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2743</v>
      </c>
      <c r="C1024" s="355"/>
      <c r="D1024" s="1299" t="s">
        <v>1795</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2743</v>
      </c>
      <c r="C1026" s="355"/>
      <c r="D1026" s="1259" t="s">
        <v>1796</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1797</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1798</v>
      </c>
      <c r="E1031" s="1324"/>
      <c r="F1031" s="1324"/>
      <c r="G1031" s="3"/>
      <c r="I1031" s="491"/>
    </row>
    <row r="1032" spans="1:9" ht="12.75" customHeight="1">
      <c r="A1032" s="355"/>
      <c r="B1032" s="355"/>
      <c r="C1032" s="355"/>
      <c r="D1032" s="1322" t="s">
        <v>1799</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1813</v>
      </c>
      <c r="E1034" s="1324"/>
      <c r="F1034" s="1324"/>
      <c r="G1034" s="3"/>
      <c r="I1034" s="491"/>
    </row>
    <row r="1035" spans="1:9" ht="12.75" customHeight="1">
      <c r="A1035" s="355"/>
      <c r="B1035" s="486" t="s">
        <v>2742</v>
      </c>
      <c r="C1035" s="355"/>
      <c r="D1035" s="1322" t="s">
        <v>1271</v>
      </c>
      <c r="E1035" s="1322"/>
      <c r="F1035" s="1322"/>
      <c r="G1035" s="3"/>
      <c r="I1035" s="491"/>
    </row>
    <row r="1036" spans="1:9" ht="12.75" customHeight="1">
      <c r="A1036" s="355"/>
      <c r="B1036" s="175"/>
      <c r="C1036" s="355"/>
      <c r="D1036" s="1322" t="s">
        <v>1800</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1809</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1272</v>
      </c>
      <c r="E1040" s="1329"/>
      <c r="F1040" s="1329"/>
      <c r="G1040" s="3"/>
      <c r="I1040" s="491"/>
    </row>
    <row r="1041" spans="1:9" ht="12.75" hidden="1" customHeight="1">
      <c r="A1041" s="118"/>
      <c r="B1041" s="486" t="s">
        <v>306</v>
      </c>
      <c r="D1041" s="1291" t="s">
        <v>1271</v>
      </c>
      <c r="E1041" s="1291"/>
      <c r="F1041" s="1291"/>
      <c r="G1041" s="3"/>
      <c r="I1041" s="491"/>
    </row>
    <row r="1042" spans="1:9" ht="12.75" hidden="1" customHeight="1">
      <c r="A1042" s="118"/>
      <c r="B1042" s="403"/>
      <c r="D1042" s="1291" t="s">
        <v>1810</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1066</v>
      </c>
      <c r="E1044" s="1330"/>
      <c r="F1044" s="1330"/>
      <c r="G1044" s="3"/>
      <c r="I1044" s="491"/>
    </row>
    <row r="1045" spans="1:9" ht="12.75" customHeight="1">
      <c r="A1045" s="320"/>
      <c r="B1045" s="320"/>
      <c r="C1045" s="320"/>
      <c r="D1045" s="1300" t="s">
        <v>2251</v>
      </c>
      <c r="E1045" s="1300"/>
      <c r="F1045" s="1300"/>
      <c r="G1045" s="98"/>
      <c r="I1045" s="491"/>
    </row>
    <row r="1046" spans="1:9" ht="12.75" customHeight="1">
      <c r="A1046" s="175"/>
      <c r="B1046" s="486" t="s">
        <v>2743</v>
      </c>
      <c r="C1046" s="355"/>
      <c r="D1046" s="1300" t="s">
        <v>985</v>
      </c>
      <c r="E1046" s="1300"/>
      <c r="F1046" s="1300"/>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08" t="s">
        <v>1830</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2744</v>
      </c>
      <c r="C1054" s="403"/>
      <c r="D1054" s="1326" t="s">
        <v>1814</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2743</v>
      </c>
      <c r="C1062" s="403"/>
      <c r="D1062" s="403" t="s">
        <v>1812</v>
      </c>
      <c r="I1062" s="491"/>
    </row>
    <row r="1063" spans="1:9">
      <c r="A1063" s="403"/>
      <c r="B1063" s="403"/>
      <c r="C1063" s="403"/>
      <c r="I1063" s="491"/>
    </row>
    <row r="1064" spans="1:9">
      <c r="A1064" s="403"/>
      <c r="B1064" s="486" t="s">
        <v>2743</v>
      </c>
      <c r="C1064" s="403"/>
      <c r="D1064" s="1326" t="s">
        <v>1818</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1819</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2742</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2743</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2743</v>
      </c>
      <c r="C1079" s="403"/>
      <c r="D1079" s="119" t="s">
        <v>1828</v>
      </c>
      <c r="I1079" s="491"/>
    </row>
    <row r="1080" spans="1:9">
      <c r="A1080" s="403"/>
      <c r="B1080" s="403"/>
      <c r="C1080" s="403"/>
      <c r="D1080" s="1259" t="s">
        <v>1829</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2743</v>
      </c>
      <c r="C1087" s="403"/>
      <c r="D1087" s="1325" t="s">
        <v>1821</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1826</v>
      </c>
      <c r="I1092" s="491"/>
    </row>
    <row r="1093" spans="1:9">
      <c r="A1093" s="403"/>
      <c r="B1093" s="403"/>
      <c r="C1093" s="403"/>
      <c r="I1093" s="491"/>
    </row>
    <row r="1094" spans="1:9">
      <c r="A1094" s="403"/>
      <c r="B1094" s="486" t="s">
        <v>2743</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1831</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2743</v>
      </c>
      <c r="C1101" s="403"/>
      <c r="D1101" s="1327" t="s">
        <v>1930</v>
      </c>
      <c r="E1101" s="1327"/>
      <c r="F1101" s="1327"/>
      <c r="I1101" s="491"/>
    </row>
    <row r="1102" spans="1:9">
      <c r="A1102" s="403"/>
      <c r="B1102" s="403"/>
      <c r="C1102" s="403"/>
      <c r="D1102" s="1327"/>
      <c r="E1102" s="1327"/>
      <c r="F1102" s="1327"/>
      <c r="I1102" s="491"/>
    </row>
    <row r="1103" spans="1:9">
      <c r="A1103" s="403"/>
      <c r="B1103" s="403"/>
      <c r="C1103" s="403"/>
      <c r="D1103" s="1328" t="s">
        <v>2145</v>
      </c>
      <c r="E1103" s="1259"/>
      <c r="F1103" s="1259"/>
      <c r="I1103" s="491"/>
    </row>
    <row r="1104" spans="1:9">
      <c r="A1104" s="403"/>
      <c r="B1104" s="403"/>
      <c r="C1104" s="403"/>
      <c r="D1104" s="528"/>
      <c r="I1104" s="491"/>
    </row>
    <row r="1105" spans="1:9">
      <c r="A1105" s="403"/>
      <c r="B1105" s="486" t="s">
        <v>2742</v>
      </c>
      <c r="C1105" s="403"/>
      <c r="D1105" s="1325" t="s">
        <v>1832</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2743</v>
      </c>
      <c r="C1108" s="403"/>
      <c r="D1108" s="1325" t="s">
        <v>1888</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c r="A1114" s="403"/>
      <c r="B1114" s="403"/>
      <c r="C1114" s="403"/>
      <c r="D1114" s="528"/>
      <c r="I1114" s="481"/>
    </row>
    <row r="1115" spans="1:9">
      <c r="A1115" s="403"/>
      <c r="B1115" s="486" t="s">
        <v>2743</v>
      </c>
      <c r="C1115" s="403"/>
      <c r="D1115" s="1325" t="s">
        <v>1833</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2743</v>
      </c>
      <c r="C1119" s="403"/>
      <c r="D1119" s="1265" t="s">
        <v>1889</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2743</v>
      </c>
      <c r="C1123" s="403"/>
      <c r="D1123" s="1259" t="s">
        <v>1890</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D2017"/>
  <sheetViews>
    <sheetView showGridLines="0" tabSelected="1" topLeftCell="A703" workbookViewId="0">
      <selection activeCell="AZ703" sqref="AZ1:GD1048576"/>
    </sheetView>
  </sheetViews>
  <sheetFormatPr defaultColWidth="3.77734375" defaultRowHeight="0" customHeight="1" zeroHeight="1"/>
  <cols>
    <col min="1" max="47" width="2.77734375" customWidth="1"/>
    <col min="48" max="50" width="3.77734375" customWidth="1"/>
    <col min="51" max="51" width="4.77734375" customWidth="1"/>
    <col min="52" max="52" width="8.44140625" hidden="1" customWidth="1"/>
    <col min="53" max="53" width="7.44140625" hidden="1" customWidth="1"/>
    <col min="54" max="55" width="3.77734375" hidden="1" customWidth="1"/>
    <col min="56" max="56" width="8.21875" hidden="1" customWidth="1"/>
    <col min="57" max="57" width="8.44140625" hidden="1" customWidth="1"/>
    <col min="58" max="58" width="8.21875" hidden="1" customWidth="1"/>
    <col min="59" max="59" width="11.21875" hidden="1" customWidth="1"/>
    <col min="60" max="60" width="3.77734375" hidden="1" customWidth="1"/>
    <col min="61" max="61" width="8.21875" hidden="1" customWidth="1"/>
    <col min="62" max="186" width="3.77734375" hidden="1" customWidth="1"/>
  </cols>
  <sheetData>
    <row r="1" spans="1:58" ht="13.05" customHeight="1">
      <c r="J1" s="100"/>
      <c r="AS1" s="1032">
        <v>4</v>
      </c>
      <c r="BD1" s="3" t="s">
        <v>2500</v>
      </c>
      <c r="BE1" s="3"/>
      <c r="BF1" s="3"/>
    </row>
    <row r="2" spans="1:58" ht="13.05" customHeight="1">
      <c r="BD2" s="3" t="s">
        <v>2501</v>
      </c>
      <c r="BE2" s="3" t="s">
        <v>2502</v>
      </c>
      <c r="BF2" s="3" t="s">
        <v>2503</v>
      </c>
    </row>
    <row r="3" spans="1:58" ht="13.05" customHeight="1">
      <c r="BD3" s="3" t="s">
        <v>2598</v>
      </c>
      <c r="BE3" t="str">
        <f>AC220</f>
        <v>City of Los Angeles</v>
      </c>
    </row>
    <row r="4" spans="1:58" ht="13.05" customHeight="1">
      <c r="BD4" s="3" t="s">
        <v>2510</v>
      </c>
      <c r="BE4" s="1250"/>
    </row>
    <row r="5" spans="1:58" ht="13.05" customHeight="1">
      <c r="BD5" s="3" t="s">
        <v>2511</v>
      </c>
      <c r="BE5">
        <f>SUMIF($AC$718:$AC$752,"&lt;=20%",$G$718:G$752)</f>
        <v>0</v>
      </c>
      <c r="BF5" s="3" t="s">
        <v>2516</v>
      </c>
    </row>
    <row r="6" spans="1:58" ht="13.05" customHeight="1">
      <c r="BD6" s="3" t="s">
        <v>2512</v>
      </c>
      <c r="BE6" s="1253">
        <f>SUMIF($AC$718:$AC$752,"&lt;=25%",$G$718:G$752)-SUM($BE$5:BE5)</f>
        <v>0</v>
      </c>
    </row>
    <row r="7" spans="1:58" ht="13.05" customHeight="1">
      <c r="BD7" s="1251" t="s">
        <v>2504</v>
      </c>
      <c r="BE7" s="1253">
        <f>SUMIF($AC$718:$AC$752,"&lt;=30%",$G$718:G$752)-SUM($BE$5:BE6)</f>
        <v>0</v>
      </c>
    </row>
    <row r="8" spans="1:58" ht="26.25" customHeight="1">
      <c r="A8" s="1830" t="s">
        <v>100</v>
      </c>
      <c r="B8" s="1830"/>
      <c r="C8" s="1830"/>
      <c r="D8" s="1830"/>
      <c r="E8" s="1830"/>
      <c r="F8" s="183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1830"/>
      <c r="AM8" s="1830"/>
      <c r="AN8" s="1830"/>
      <c r="AO8" s="1830"/>
      <c r="AP8" s="1830"/>
      <c r="AQ8" s="1830"/>
      <c r="AR8" s="1830"/>
      <c r="AS8" s="1830"/>
      <c r="AT8" s="1830"/>
      <c r="AU8" s="899"/>
      <c r="AV8" s="899"/>
      <c r="AW8" s="899"/>
      <c r="AX8" s="899"/>
      <c r="AY8" s="899"/>
      <c r="BD8" s="3" t="s">
        <v>2513</v>
      </c>
      <c r="BE8" s="1253">
        <f>SUMIF($AC$718:$AC$752,"&lt;=35%",$G$718:G$752)-SUM($BE$5:BE7)</f>
        <v>10</v>
      </c>
    </row>
    <row r="9" spans="1:58" ht="13.05" customHeight="1">
      <c r="A9" s="1831" t="s">
        <v>2078</v>
      </c>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3"/>
      <c r="AV9" s="13"/>
      <c r="AW9" s="13"/>
      <c r="AX9" s="13"/>
      <c r="AY9" s="13"/>
      <c r="BD9" s="1252" t="s">
        <v>2505</v>
      </c>
      <c r="BE9" s="1253">
        <f>SUMIF($AC$718:$AC$752,"&lt;=40%",$G$718:G$752)-SUM($BE$5:BE8)</f>
        <v>0</v>
      </c>
    </row>
    <row r="10" spans="1:58" ht="13.05" customHeight="1">
      <c r="A10" s="1831" t="s">
        <v>2462</v>
      </c>
      <c r="B10" s="1831"/>
      <c r="C10" s="1831"/>
      <c r="D10" s="1831"/>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3"/>
      <c r="AV10" s="13"/>
      <c r="AW10" s="13"/>
      <c r="AX10" s="13"/>
      <c r="AY10" s="13"/>
      <c r="BD10" s="3" t="s">
        <v>2514</v>
      </c>
      <c r="BE10" s="1253">
        <f>SUMIF($AC$718:$AC$752,"&lt;=45%",$G$718:G$752)-SUM($BE$5:BE9)</f>
        <v>0</v>
      </c>
    </row>
    <row r="11" spans="1:58" ht="13.05" customHeight="1">
      <c r="A11" s="1831" t="s">
        <v>2608</v>
      </c>
      <c r="B11" s="1831"/>
      <c r="C11" s="1831"/>
      <c r="D11" s="1831"/>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c r="AT11" s="1831"/>
      <c r="AU11" s="13"/>
      <c r="AV11" s="13"/>
      <c r="AW11" s="13"/>
      <c r="AX11" s="13"/>
      <c r="AY11" s="13"/>
      <c r="BD11" s="1251" t="s">
        <v>2506</v>
      </c>
      <c r="BE11" s="1253">
        <f>SUMIF($AC$718:$AC$752,"&lt;=50%",$G$718:G$752)-SUM($BE$5:BE10)</f>
        <v>43</v>
      </c>
    </row>
    <row r="12" spans="1:58" ht="13.05" customHeight="1">
      <c r="A12" s="1832" t="s">
        <v>2609</v>
      </c>
      <c r="B12" s="1832"/>
      <c r="C12" s="1832"/>
      <c r="D12" s="1832"/>
      <c r="E12" s="1832"/>
      <c r="F12" s="1832"/>
      <c r="G12" s="1832"/>
      <c r="H12" s="1832"/>
      <c r="I12" s="1832"/>
      <c r="J12" s="1832"/>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2"/>
      <c r="AI12" s="1832"/>
      <c r="AJ12" s="1832"/>
      <c r="AK12" s="1832"/>
      <c r="AL12" s="1832"/>
      <c r="AM12" s="1832"/>
      <c r="AN12" s="1832"/>
      <c r="AO12" s="1832"/>
      <c r="AP12" s="1832"/>
      <c r="AQ12" s="1832"/>
      <c r="AR12" s="1832"/>
      <c r="AS12" s="1832"/>
      <c r="AT12" s="1832"/>
      <c r="AU12" s="6"/>
      <c r="AV12" s="6"/>
      <c r="AW12" s="6"/>
      <c r="AX12" s="6"/>
      <c r="AY12" s="6"/>
      <c r="BD12" s="3" t="s">
        <v>2515</v>
      </c>
      <c r="BE12" s="1253">
        <f>SUMIF($AC$718:$AC$752,"&lt;=55%",$G$718:G$752)-SUM($BE$5:BE11)</f>
        <v>0</v>
      </c>
    </row>
    <row r="13" spans="1:58" ht="13.05" customHeight="1">
      <c r="A13" s="1269" t="s">
        <v>2079</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2507</v>
      </c>
      <c r="BE13" s="1253">
        <f>SUMIF($AC$718:$AC$752,"&lt;=60%",$G$718:G$752)-SUM($BE$5:BE12)</f>
        <v>10</v>
      </c>
    </row>
    <row r="14" spans="1:58" ht="13.05"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2508</v>
      </c>
      <c r="BE14" s="1253">
        <f>SUMIF($AC$718:$AC$752,"&lt;=70%",$G$718:G$752)-SUM($BE$5:BE13)</f>
        <v>0</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05" customHeight="1">
      <c r="A16" s="57" t="s">
        <v>2080</v>
      </c>
      <c r="C16" s="4"/>
      <c r="D16" s="4"/>
      <c r="E16" s="4"/>
      <c r="F16" s="4"/>
      <c r="G16" s="4"/>
      <c r="H16" s="1836" t="s">
        <v>2610</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BD16" s="1252" t="s">
        <v>656</v>
      </c>
      <c r="BE16" s="1253" t="str">
        <f>Application!H18</f>
        <v>Adda and Paul Safran Senior Housing</v>
      </c>
    </row>
    <row r="17" spans="1:58" ht="13.05" customHeight="1">
      <c r="BD17" s="1251" t="s">
        <v>2522</v>
      </c>
      <c r="BE17" s="1253">
        <f>Application!AA934</f>
        <v>0</v>
      </c>
    </row>
    <row r="18" spans="1:58" ht="13.05" customHeight="1">
      <c r="A18" s="57" t="s">
        <v>101</v>
      </c>
      <c r="C18" s="4"/>
      <c r="D18" s="4"/>
      <c r="E18" s="4"/>
      <c r="F18" s="4"/>
      <c r="G18" s="4"/>
      <c r="H18" s="1526" t="s">
        <v>2611</v>
      </c>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BD18" s="1252" t="s">
        <v>2523</v>
      </c>
      <c r="BE18" s="1253">
        <f>'CalHFA Addendum'!N11</f>
        <v>0</v>
      </c>
    </row>
    <row r="19" spans="1:58" ht="13.05" customHeight="1">
      <c r="BD19" s="1251" t="s">
        <v>2524</v>
      </c>
      <c r="BE19" s="1253">
        <f>Application!M26</f>
        <v>1624431</v>
      </c>
    </row>
    <row r="20" spans="1:58" ht="13.05" customHeight="1">
      <c r="A20" s="1833" t="s">
        <v>873</v>
      </c>
      <c r="B20" s="1833"/>
      <c r="C20" s="1833"/>
      <c r="D20" s="1833"/>
      <c r="E20" s="1833"/>
      <c r="F20" s="1833"/>
      <c r="G20" s="1833"/>
      <c r="H20" s="1833"/>
      <c r="I20" s="1833"/>
      <c r="J20" s="1833"/>
      <c r="K20" s="1833"/>
      <c r="L20" s="1833"/>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c r="AS20" s="1833"/>
      <c r="AT20" s="1833"/>
      <c r="AU20" s="901"/>
      <c r="AV20" s="901"/>
      <c r="AW20" s="901"/>
      <c r="AX20" s="901"/>
      <c r="AY20" s="901"/>
      <c r="BD20" s="1252" t="s">
        <v>2525</v>
      </c>
      <c r="BE20" s="1253">
        <f>Application!M27</f>
        <v>0</v>
      </c>
    </row>
    <row r="21" spans="1:58" ht="13.05" customHeight="1">
      <c r="A21" s="1837" t="s">
        <v>1009</v>
      </c>
      <c r="B21" s="1837"/>
      <c r="C21" s="1837"/>
      <c r="D21" s="1837"/>
      <c r="E21" s="1837"/>
      <c r="F21" s="1837"/>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902"/>
      <c r="AN21" s="902"/>
      <c r="AO21" s="902"/>
      <c r="AP21" s="902"/>
      <c r="AQ21" s="902"/>
      <c r="AR21" s="902"/>
      <c r="AS21" s="902"/>
      <c r="AT21" s="902"/>
      <c r="AU21" s="902"/>
      <c r="AV21" s="902"/>
      <c r="AW21" s="902"/>
      <c r="AX21" s="902"/>
      <c r="AY21" s="902"/>
      <c r="BD21" s="1251" t="s">
        <v>2526</v>
      </c>
      <c r="BE21" s="1253">
        <f>Application!AM554</f>
        <v>21300000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43264841</v>
      </c>
      <c r="BF22" s="3" t="s">
        <v>2599</v>
      </c>
    </row>
    <row r="23" spans="1:58" ht="13.05" customHeight="1">
      <c r="A23" s="1327" t="s">
        <v>2148</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2527</v>
      </c>
      <c r="BE23" s="1253">
        <f>'Sources and Uses Budget'!B4</f>
        <v>5800000</v>
      </c>
    </row>
    <row r="24" spans="1:58" ht="13.05"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2528</v>
      </c>
      <c r="BE24" s="1253">
        <f>Application!AG450</f>
        <v>64109</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3.05" customHeight="1">
      <c r="A26" s="4"/>
      <c r="C26" s="4"/>
      <c r="D26" s="4"/>
      <c r="E26" s="4"/>
      <c r="F26" s="4"/>
      <c r="G26" s="4"/>
      <c r="H26" s="4"/>
      <c r="I26" s="4"/>
      <c r="J26" s="4"/>
      <c r="K26" s="4"/>
      <c r="L26" s="4"/>
      <c r="M26" s="1835">
        <f>'Basis &amp; Credits'!AB56</f>
        <v>1624431</v>
      </c>
      <c r="N26" s="1835"/>
      <c r="O26" s="1835"/>
      <c r="P26" s="1835"/>
      <c r="Q26" s="1835"/>
      <c r="R26" s="4" t="s">
        <v>759</v>
      </c>
      <c r="S26" s="4"/>
      <c r="T26" s="4"/>
      <c r="U26" s="4"/>
      <c r="V26" s="4"/>
      <c r="W26" s="4"/>
      <c r="X26" s="4"/>
      <c r="Y26" s="4"/>
      <c r="Z26" s="4"/>
      <c r="AF26" s="4"/>
      <c r="AG26" s="4"/>
      <c r="AH26" s="4"/>
      <c r="AI26" s="4"/>
      <c r="AJ26" s="4"/>
      <c r="AK26" s="4"/>
      <c r="BD26" s="1252" t="s">
        <v>1639</v>
      </c>
      <c r="BE26" s="1253" t="b">
        <f>Application!M356="Yes"</f>
        <v>0</v>
      </c>
    </row>
    <row r="27" spans="1:58" ht="13.05" customHeight="1">
      <c r="A27" s="4"/>
      <c r="C27" s="4"/>
      <c r="D27" s="4"/>
      <c r="E27" s="4"/>
      <c r="F27" s="4"/>
      <c r="G27" s="4"/>
      <c r="H27" s="4"/>
      <c r="I27" s="4"/>
      <c r="J27" s="4"/>
      <c r="K27" s="4"/>
      <c r="L27" s="4"/>
      <c r="M27" s="1358">
        <f>'Basis &amp; Credits'!AB78</f>
        <v>0</v>
      </c>
      <c r="N27" s="1358"/>
      <c r="O27" s="1358"/>
      <c r="P27" s="1358"/>
      <c r="Q27" s="1358"/>
      <c r="R27" s="3" t="s">
        <v>1267</v>
      </c>
      <c r="S27" s="4"/>
      <c r="T27" s="4"/>
      <c r="U27" s="4"/>
      <c r="V27" s="4"/>
      <c r="W27" s="4"/>
      <c r="X27" s="4"/>
      <c r="Y27" s="4"/>
      <c r="Z27" s="4"/>
      <c r="AF27" s="4"/>
      <c r="AG27" s="4"/>
      <c r="AH27" s="4"/>
      <c r="AI27" s="4"/>
      <c r="AJ27" s="4"/>
      <c r="AK27" s="4"/>
      <c r="BD27" s="1251" t="s">
        <v>2100</v>
      </c>
      <c r="BE27" s="1253" t="b">
        <f>Application!M355="Yes"</f>
        <v>0</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05" customHeight="1">
      <c r="A29" s="1532" t="s">
        <v>2149</v>
      </c>
      <c r="B29" s="1532"/>
      <c r="C29" s="1532"/>
      <c r="D29" s="1532"/>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532"/>
      <c r="AM29" s="1532"/>
      <c r="AN29" s="1532"/>
      <c r="AO29" s="1532"/>
      <c r="AP29" s="1532"/>
      <c r="AQ29" s="1532"/>
      <c r="AR29" s="1532"/>
      <c r="AS29" s="1532"/>
      <c r="AT29" s="1532"/>
      <c r="BD29" s="1251" t="s">
        <v>2531</v>
      </c>
      <c r="BE29" s="1253" t="b">
        <f>Application!M358="Yes"</f>
        <v>1</v>
      </c>
    </row>
    <row r="30" spans="1:58" ht="13.05" customHeight="1">
      <c r="A30" s="1532"/>
      <c r="B30" s="1532"/>
      <c r="C30" s="1532"/>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1532"/>
      <c r="AQ30" s="1532"/>
      <c r="AR30" s="1532"/>
      <c r="AS30" s="1532"/>
      <c r="AT30" s="1532"/>
      <c r="AZ30" s="20"/>
      <c r="BD30" s="1252" t="s">
        <v>28</v>
      </c>
      <c r="BE30" s="1253" t="b">
        <f>Application!AJ355="Yes"</f>
        <v>0</v>
      </c>
    </row>
    <row r="31" spans="1:58" ht="13.05" customHeight="1">
      <c r="A31" s="1532"/>
      <c r="B31" s="1532"/>
      <c r="C31" s="1532"/>
      <c r="D31" s="1532"/>
      <c r="E31" s="1532"/>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c r="AP31" s="1532"/>
      <c r="AQ31" s="1532"/>
      <c r="AR31" s="1532"/>
      <c r="AS31" s="1532"/>
      <c r="AT31" s="1532"/>
      <c r="AU31" s="20"/>
      <c r="AV31" s="20"/>
      <c r="AW31" s="20"/>
      <c r="AX31" s="20"/>
      <c r="AY31" s="20"/>
      <c r="AZ31" s="20"/>
      <c r="BD31" s="1251" t="s">
        <v>2532</v>
      </c>
      <c r="BE31" s="1253" t="str">
        <f>Application!D211</f>
        <v>Non-Targeted</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05" customHeight="1">
      <c r="A33" s="520" t="s">
        <v>1278</v>
      </c>
      <c r="C33" s="520"/>
      <c r="D33" s="520"/>
      <c r="E33" s="520"/>
      <c r="F33" s="520"/>
      <c r="G33" s="520"/>
      <c r="H33" s="520"/>
      <c r="I33" s="520"/>
      <c r="J33" s="520"/>
      <c r="K33" s="520"/>
      <c r="L33" s="520"/>
      <c r="M33" s="520"/>
      <c r="N33" s="520"/>
      <c r="O33" s="1414" t="s">
        <v>669</v>
      </c>
      <c r="P33" s="1414"/>
      <c r="Q33" s="1834" t="s">
        <v>2150</v>
      </c>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c r="AS33" s="1834"/>
      <c r="AT33" s="1834"/>
      <c r="AU33" s="20"/>
      <c r="AV33" s="20"/>
      <c r="AW33" s="20"/>
      <c r="AX33" s="20"/>
      <c r="AY33" s="20"/>
      <c r="BD33" s="1251" t="s">
        <v>2600</v>
      </c>
      <c r="BE33" s="1253" t="str">
        <f>Application!D220</f>
        <v>City of Los Angeles</v>
      </c>
    </row>
    <row r="34" spans="1:57" ht="13.05" customHeight="1">
      <c r="A34" s="1532" t="s">
        <v>2151</v>
      </c>
      <c r="B34" s="1532"/>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32"/>
      <c r="AL34" s="1532"/>
      <c r="AM34" s="1532"/>
      <c r="AN34" s="1532"/>
      <c r="AO34" s="1532"/>
      <c r="AP34" s="1532"/>
      <c r="AQ34" s="1532"/>
      <c r="AR34" s="1532"/>
      <c r="AS34" s="1532"/>
      <c r="AT34" s="1532"/>
      <c r="AU34" s="20"/>
      <c r="AV34" s="20"/>
      <c r="AW34" s="20"/>
      <c r="AX34" s="20"/>
      <c r="AY34" s="20"/>
      <c r="AZ34" s="20"/>
      <c r="BD34" s="1252" t="s">
        <v>2534</v>
      </c>
      <c r="BE34" s="1253" t="str">
        <f>Application!I185</f>
        <v xml:space="preserve">151 Ocean Front Walk </v>
      </c>
    </row>
    <row r="35" spans="1:57" ht="13.05" customHeight="1">
      <c r="A35" s="1532"/>
      <c r="B35" s="1532"/>
      <c r="C35" s="1532"/>
      <c r="D35" s="1532"/>
      <c r="E35" s="1532"/>
      <c r="F35" s="1532"/>
      <c r="G35" s="1532"/>
      <c r="H35" s="1532"/>
      <c r="I35" s="1532"/>
      <c r="J35" s="1532"/>
      <c r="K35" s="1532"/>
      <c r="L35" s="1532"/>
      <c r="M35" s="1532"/>
      <c r="N35" s="1532"/>
      <c r="O35" s="1532"/>
      <c r="P35" s="1532"/>
      <c r="Q35" s="1532"/>
      <c r="R35" s="1532"/>
      <c r="S35" s="1532"/>
      <c r="T35" s="1532"/>
      <c r="U35" s="1532"/>
      <c r="V35" s="1532"/>
      <c r="W35" s="1532"/>
      <c r="X35" s="1532"/>
      <c r="Y35" s="1532"/>
      <c r="Z35" s="1532"/>
      <c r="AA35" s="1532"/>
      <c r="AB35" s="1532"/>
      <c r="AC35" s="1532"/>
      <c r="AD35" s="1532"/>
      <c r="AE35" s="1532"/>
      <c r="AF35" s="1532"/>
      <c r="AG35" s="1532"/>
      <c r="AH35" s="1532"/>
      <c r="AI35" s="1532"/>
      <c r="AJ35" s="1532"/>
      <c r="AK35" s="1532"/>
      <c r="AL35" s="1532"/>
      <c r="AM35" s="1532"/>
      <c r="AN35" s="1532"/>
      <c r="AO35" s="1532"/>
      <c r="AP35" s="1532"/>
      <c r="AQ35" s="1532"/>
      <c r="AR35" s="1532"/>
      <c r="AS35" s="1532"/>
      <c r="AT35" s="1532"/>
      <c r="AU35" s="20"/>
      <c r="AV35" s="20"/>
      <c r="AW35" s="20"/>
      <c r="AX35" s="20"/>
      <c r="AY35" s="20"/>
      <c r="AZ35" s="20"/>
      <c r="BD35" s="1251" t="s">
        <v>2535</v>
      </c>
      <c r="BE35" s="1253" t="str">
        <f>IF(Application!E187="","",Application!E187)</f>
        <v/>
      </c>
    </row>
    <row r="36" spans="1:57" ht="13.05" customHeight="1">
      <c r="A36" s="1532"/>
      <c r="B36" s="1532"/>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32"/>
      <c r="AL36" s="1532"/>
      <c r="AM36" s="1532"/>
      <c r="AN36" s="1532"/>
      <c r="AO36" s="1532"/>
      <c r="AP36" s="1532"/>
      <c r="AQ36" s="1532"/>
      <c r="AR36" s="1532"/>
      <c r="AS36" s="1532"/>
      <c r="AT36" s="1532"/>
      <c r="AU36" s="20"/>
      <c r="AV36" s="20"/>
      <c r="AW36" s="20"/>
      <c r="AX36" s="20"/>
      <c r="AY36" s="20"/>
      <c r="AZ36" s="20"/>
      <c r="BD36" s="1252" t="s">
        <v>2536</v>
      </c>
      <c r="BE36" s="1253" t="str">
        <f>Application!I189</f>
        <v>Venice</v>
      </c>
    </row>
    <row r="37" spans="1:57" ht="13.05" customHeight="1">
      <c r="A37" s="1532"/>
      <c r="B37" s="1532"/>
      <c r="C37" s="1532"/>
      <c r="D37" s="1532"/>
      <c r="E37" s="1532"/>
      <c r="F37" s="1532"/>
      <c r="G37" s="1532"/>
      <c r="H37" s="1532"/>
      <c r="I37" s="1532"/>
      <c r="J37" s="1532"/>
      <c r="K37" s="1532"/>
      <c r="L37" s="1532"/>
      <c r="M37" s="1532"/>
      <c r="N37" s="1532"/>
      <c r="O37" s="1532"/>
      <c r="P37" s="1532"/>
      <c r="Q37" s="1532"/>
      <c r="R37" s="1532"/>
      <c r="S37" s="1532"/>
      <c r="T37" s="1532"/>
      <c r="U37" s="1532"/>
      <c r="V37" s="1532"/>
      <c r="W37" s="1532"/>
      <c r="X37" s="1532"/>
      <c r="Y37" s="1532"/>
      <c r="Z37" s="1532"/>
      <c r="AA37" s="1532"/>
      <c r="AB37" s="1532"/>
      <c r="AC37" s="1532"/>
      <c r="AD37" s="1532"/>
      <c r="AE37" s="1532"/>
      <c r="AF37" s="1532"/>
      <c r="AG37" s="1532"/>
      <c r="AH37" s="1532"/>
      <c r="AI37" s="1532"/>
      <c r="AJ37" s="1532"/>
      <c r="AK37" s="1532"/>
      <c r="AL37" s="1532"/>
      <c r="AM37" s="1532"/>
      <c r="AN37" s="1532"/>
      <c r="AO37" s="1532"/>
      <c r="AP37" s="1532"/>
      <c r="AQ37" s="1532"/>
      <c r="AR37" s="1532"/>
      <c r="AS37" s="1532"/>
      <c r="AT37" s="1532"/>
      <c r="AZ37" s="20"/>
      <c r="BD37" s="1251" t="s">
        <v>2537</v>
      </c>
      <c r="BE37" s="1253" t="str">
        <f>Application!T189</f>
        <v>Los Angeles</v>
      </c>
    </row>
    <row r="38" spans="1:57" ht="13.05" customHeight="1">
      <c r="A38" s="3"/>
      <c r="AZ38" s="20"/>
      <c r="BD38" s="1252" t="s">
        <v>2538</v>
      </c>
      <c r="BE38" s="1253">
        <f>Application!I190</f>
        <v>90291</v>
      </c>
    </row>
    <row r="39" spans="1:57" ht="13.05" customHeight="1">
      <c r="A39" s="1259" t="s">
        <v>2152</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2539</v>
      </c>
      <c r="BE39" s="1253">
        <f>Application!AG437</f>
        <v>64</v>
      </c>
    </row>
    <row r="40" spans="1:57" ht="13.05"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383</v>
      </c>
      <c r="BE40" s="1253">
        <f>Application!AG440</f>
        <v>63</v>
      </c>
    </row>
    <row r="41" spans="1:57" ht="13.05"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286</v>
      </c>
      <c r="BE41" s="1253">
        <f>Application!AG438</f>
        <v>0</v>
      </c>
    </row>
    <row r="42" spans="1:57" ht="13.05"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2540</v>
      </c>
      <c r="BE42" s="1255">
        <f>Application!AC753</f>
        <v>0.49206349206349204</v>
      </c>
    </row>
    <row r="43" spans="1:57" ht="13.05"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2541</v>
      </c>
      <c r="BE43" s="1255">
        <f>Application!AH753</f>
        <v>0.49206349206349204</v>
      </c>
    </row>
    <row r="44" spans="1:57" ht="13.05"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2542</v>
      </c>
      <c r="BE44" s="1253">
        <f>Application!AC454</f>
        <v>676013.140625</v>
      </c>
    </row>
    <row r="45" spans="1:57" ht="13.0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05" customHeight="1">
      <c r="A46" s="1327" t="s">
        <v>2153</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2544</v>
      </c>
      <c r="BE46" s="1253" t="b">
        <f>Application!T195="Yes"</f>
        <v>1</v>
      </c>
    </row>
    <row r="47" spans="1:57" ht="13.05"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2545</v>
      </c>
      <c r="BE47" s="1253" t="b">
        <f>Application!T196="Yes"</f>
        <v>0</v>
      </c>
    </row>
    <row r="48" spans="1:57" ht="13.05"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2546</v>
      </c>
      <c r="BE48" s="1253" t="str">
        <f>Application!M243</f>
        <v>Mountain Park Terrace, Inc.</v>
      </c>
    </row>
    <row r="49" spans="1:57" ht="13.05"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2547</v>
      </c>
      <c r="BE49" s="1253" t="str">
        <f>Application!M246</f>
        <v>Mary Grace Crisostomo</v>
      </c>
    </row>
    <row r="50" spans="1:57" ht="13.0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HumanGood Affordable Housing</v>
      </c>
    </row>
    <row r="51" spans="1:57" ht="13.05" customHeight="1">
      <c r="A51" s="1259" t="s">
        <v>2154</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2549</v>
      </c>
      <c r="BE51" s="1253">
        <f>Application!M251</f>
        <v>0</v>
      </c>
    </row>
    <row r="52" spans="1:57" ht="13.05"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2550</v>
      </c>
      <c r="BE52" s="1253">
        <f>Application!M254</f>
        <v>0</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f>Application!AA257</f>
        <v>0</v>
      </c>
    </row>
    <row r="54" spans="1:57" ht="13.05" customHeight="1">
      <c r="A54" s="1259" t="s">
        <v>2155</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2552</v>
      </c>
      <c r="BE54" s="1253">
        <f>Application!M259</f>
        <v>0</v>
      </c>
    </row>
    <row r="55" spans="1:57" ht="13.05"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2553</v>
      </c>
      <c r="BE55" s="1253">
        <f>Application!M262</f>
        <v>0</v>
      </c>
    </row>
    <row r="56" spans="1:57" ht="13.05"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2554</v>
      </c>
      <c r="BE56" s="1253">
        <f>Application!AA265</f>
        <v>0</v>
      </c>
    </row>
    <row r="57" spans="1:57" ht="13.05"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2555</v>
      </c>
      <c r="BE57" s="1253" t="str">
        <f>Application!H287</f>
        <v>HumanGood Affordable Housing</v>
      </c>
    </row>
    <row r="58" spans="1:57" ht="13.05"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2556</v>
      </c>
      <c r="BE58" s="1253" t="str">
        <f>Application!H288</f>
        <v>1900 Huntington Drive</v>
      </c>
    </row>
    <row r="59" spans="1:57" ht="13.0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Duarte, CA 91010</v>
      </c>
    </row>
    <row r="60" spans="1:57" ht="13.05" customHeight="1">
      <c r="A60" s="1259" t="s">
        <v>2156</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2558</v>
      </c>
      <c r="BE60" s="1253" t="str">
        <f>Application!H290</f>
        <v>Orest Dolyniuk</v>
      </c>
    </row>
    <row r="61" spans="1:57" ht="13.05"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2559</v>
      </c>
      <c r="BE61" s="1253" t="str">
        <f>Application!H293</f>
        <v>OrestD@beacondevgroup.com</v>
      </c>
    </row>
    <row r="62" spans="1:57" ht="13.0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0.8888296271125089</v>
      </c>
    </row>
    <row r="63" spans="1:57" ht="13.0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05" customHeight="1">
      <c r="A65" s="1541" t="s">
        <v>2158</v>
      </c>
      <c r="B65" s="1541"/>
      <c r="C65" s="1541"/>
      <c r="D65" s="1541"/>
      <c r="E65" s="1541"/>
      <c r="F65" s="1541"/>
      <c r="G65" s="1541"/>
      <c r="H65" s="1541"/>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c r="AI65" s="1541"/>
      <c r="AJ65" s="1541"/>
      <c r="AK65" s="1541"/>
      <c r="AL65" s="1541"/>
      <c r="AM65" s="1541"/>
      <c r="AN65" s="1541"/>
      <c r="AO65" s="1541"/>
      <c r="AP65" s="1541"/>
      <c r="AQ65" s="1541"/>
      <c r="AR65" s="1541"/>
      <c r="AS65" s="1541"/>
      <c r="AT65" s="1541"/>
      <c r="AU65" s="21"/>
      <c r="AV65" s="21"/>
      <c r="AW65" s="21"/>
      <c r="AX65" s="21"/>
      <c r="AY65" s="21"/>
      <c r="AZ65" s="20"/>
      <c r="BD65" s="1251" t="s">
        <v>2597</v>
      </c>
      <c r="BE65" s="1253" t="str">
        <f>Z205</f>
        <v>(select)</v>
      </c>
    </row>
    <row r="66" spans="1:57" ht="13.05" customHeight="1">
      <c r="A66" s="1541"/>
      <c r="B66" s="1541"/>
      <c r="C66" s="1541"/>
      <c r="D66" s="1541"/>
      <c r="E66" s="1541"/>
      <c r="F66" s="1541"/>
      <c r="G66" s="1541"/>
      <c r="H66" s="1541"/>
      <c r="I66" s="1541"/>
      <c r="J66" s="1541"/>
      <c r="K66" s="1541"/>
      <c r="L66" s="1541"/>
      <c r="M66" s="1541"/>
      <c r="N66" s="1541"/>
      <c r="O66" s="1541"/>
      <c r="P66" s="1541"/>
      <c r="Q66" s="1541"/>
      <c r="R66" s="1541"/>
      <c r="S66" s="1541"/>
      <c r="T66" s="1541"/>
      <c r="U66" s="1541"/>
      <c r="V66" s="1541"/>
      <c r="W66" s="1541"/>
      <c r="X66" s="1541"/>
      <c r="Y66" s="1541"/>
      <c r="Z66" s="1541"/>
      <c r="AA66" s="1541"/>
      <c r="AB66" s="1541"/>
      <c r="AC66" s="1541"/>
      <c r="AD66" s="1541"/>
      <c r="AE66" s="1541"/>
      <c r="AF66" s="1541"/>
      <c r="AG66" s="1541"/>
      <c r="AH66" s="1541"/>
      <c r="AI66" s="1541"/>
      <c r="AJ66" s="1541"/>
      <c r="AK66" s="1541"/>
      <c r="AL66" s="1541"/>
      <c r="AM66" s="1541"/>
      <c r="AN66" s="1541"/>
      <c r="AO66" s="1541"/>
      <c r="AP66" s="1541"/>
      <c r="AQ66" s="1541"/>
      <c r="AR66" s="1541"/>
      <c r="AS66" s="1541"/>
      <c r="AT66" s="1541"/>
      <c r="AU66" s="21"/>
      <c r="AV66" s="21"/>
      <c r="AW66" s="21"/>
      <c r="AX66" s="21"/>
      <c r="AY66" s="21"/>
      <c r="AZ66" s="20"/>
      <c r="BD66" s="1252" t="s">
        <v>2562</v>
      </c>
      <c r="BE66" s="1253" t="b">
        <f>Application!Z205="State Farmworker Credit"</f>
        <v>0</v>
      </c>
    </row>
    <row r="67" spans="1:57" ht="13.05" customHeight="1">
      <c r="A67" s="1541"/>
      <c r="B67" s="1541"/>
      <c r="C67" s="1541"/>
      <c r="D67" s="1541"/>
      <c r="E67" s="1541"/>
      <c r="F67" s="1541"/>
      <c r="G67" s="1541"/>
      <c r="H67" s="1541"/>
      <c r="I67" s="1541"/>
      <c r="J67" s="1541"/>
      <c r="K67" s="1541"/>
      <c r="L67" s="1541"/>
      <c r="M67" s="1541"/>
      <c r="N67" s="1541"/>
      <c r="O67" s="1541"/>
      <c r="P67" s="1541"/>
      <c r="Q67" s="1541"/>
      <c r="R67" s="1541"/>
      <c r="S67" s="1541"/>
      <c r="T67" s="1541"/>
      <c r="U67" s="1541"/>
      <c r="V67" s="1541"/>
      <c r="W67" s="1541"/>
      <c r="X67" s="1541"/>
      <c r="Y67" s="1541"/>
      <c r="Z67" s="1541"/>
      <c r="AA67" s="1541"/>
      <c r="AB67" s="1541"/>
      <c r="AC67" s="1541"/>
      <c r="AD67" s="1541"/>
      <c r="AE67" s="1541"/>
      <c r="AF67" s="1541"/>
      <c r="AG67" s="1541"/>
      <c r="AH67" s="1541"/>
      <c r="AI67" s="1541"/>
      <c r="AJ67" s="1541"/>
      <c r="AK67" s="1541"/>
      <c r="AL67" s="1541"/>
      <c r="AM67" s="1541"/>
      <c r="AN67" s="1541"/>
      <c r="AO67" s="1541"/>
      <c r="AP67" s="1541"/>
      <c r="AQ67" s="1541"/>
      <c r="AR67" s="1541"/>
      <c r="AS67" s="1541"/>
      <c r="AT67" s="1541"/>
      <c r="AZ67" s="20"/>
      <c r="BD67" s="1251" t="s">
        <v>2563</v>
      </c>
      <c r="BE67" s="125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05" customHeight="1">
      <c r="A69" s="1541" t="s">
        <v>2159</v>
      </c>
      <c r="B69" s="1541"/>
      <c r="C69" s="1541"/>
      <c r="D69" s="1541"/>
      <c r="E69" s="1541"/>
      <c r="F69" s="1541"/>
      <c r="G69" s="1541"/>
      <c r="H69" s="1541"/>
      <c r="I69" s="1541"/>
      <c r="J69" s="1541"/>
      <c r="K69" s="1541"/>
      <c r="L69" s="1541"/>
      <c r="M69" s="1541"/>
      <c r="N69" s="1541"/>
      <c r="O69" s="1541"/>
      <c r="P69" s="1541"/>
      <c r="Q69" s="1541"/>
      <c r="R69" s="1541"/>
      <c r="S69" s="1541"/>
      <c r="T69" s="1541"/>
      <c r="U69" s="1541"/>
      <c r="V69" s="1541"/>
      <c r="W69" s="1541"/>
      <c r="X69" s="1541"/>
      <c r="Y69" s="1541"/>
      <c r="Z69" s="1541"/>
      <c r="AA69" s="1541"/>
      <c r="AB69" s="1541"/>
      <c r="AC69" s="1541"/>
      <c r="AD69" s="1541"/>
      <c r="AE69" s="1541"/>
      <c r="AF69" s="1541"/>
      <c r="AG69" s="1541"/>
      <c r="AH69" s="1541"/>
      <c r="AI69" s="1541"/>
      <c r="AJ69" s="1541"/>
      <c r="AK69" s="1541"/>
      <c r="AL69" s="1541"/>
      <c r="AM69" s="1541"/>
      <c r="AN69" s="1541"/>
      <c r="AO69" s="1541"/>
      <c r="AP69" s="1541"/>
      <c r="AQ69" s="1541"/>
      <c r="AR69" s="1541"/>
      <c r="AS69" s="1541"/>
      <c r="AT69" s="1541"/>
      <c r="AZ69" s="20"/>
      <c r="BD69" s="1251" t="s">
        <v>2565</v>
      </c>
      <c r="BE69" s="1253" t="str">
        <f>Application!W700</f>
        <v>City of Los Angeles</v>
      </c>
    </row>
    <row r="70" spans="1:57" ht="13.05" customHeight="1">
      <c r="A70" s="1541"/>
      <c r="B70" s="1541"/>
      <c r="C70" s="1541"/>
      <c r="D70" s="1541"/>
      <c r="E70" s="1541"/>
      <c r="F70" s="1541"/>
      <c r="G70" s="1541"/>
      <c r="H70" s="1541"/>
      <c r="I70" s="1541"/>
      <c r="J70" s="1541"/>
      <c r="K70" s="1541"/>
      <c r="L70" s="1541"/>
      <c r="M70" s="1541"/>
      <c r="N70" s="1541"/>
      <c r="O70" s="1541"/>
      <c r="P70" s="1541"/>
      <c r="Q70" s="1541"/>
      <c r="R70" s="1541"/>
      <c r="S70" s="1541"/>
      <c r="T70" s="1541"/>
      <c r="U70" s="1541"/>
      <c r="V70" s="1541"/>
      <c r="W70" s="1541"/>
      <c r="X70" s="1541"/>
      <c r="Y70" s="1541"/>
      <c r="Z70" s="1541"/>
      <c r="AA70" s="1541"/>
      <c r="AB70" s="1541"/>
      <c r="AC70" s="1541"/>
      <c r="AD70" s="1541"/>
      <c r="AE70" s="1541"/>
      <c r="AF70" s="1541"/>
      <c r="AG70" s="1541"/>
      <c r="AH70" s="1541"/>
      <c r="AI70" s="1541"/>
      <c r="AJ70" s="1541"/>
      <c r="AK70" s="1541"/>
      <c r="AL70" s="1541"/>
      <c r="AM70" s="1541"/>
      <c r="AN70" s="1541"/>
      <c r="AO70" s="1541"/>
      <c r="AP70" s="1541"/>
      <c r="AQ70" s="1541"/>
      <c r="AR70" s="1541"/>
      <c r="AS70" s="1541"/>
      <c r="AT70" s="1541"/>
      <c r="AU70" s="20"/>
      <c r="AV70" s="20"/>
      <c r="AW70" s="20"/>
      <c r="AX70" s="20"/>
      <c r="AY70" s="20"/>
      <c r="AZ70" s="20"/>
      <c r="BD70" s="1252" t="s">
        <v>2566</v>
      </c>
      <c r="BE70" s="1253">
        <f>'Points System'!AF821</f>
        <v>104</v>
      </c>
    </row>
    <row r="71" spans="1:57" ht="13.0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14</v>
      </c>
    </row>
    <row r="72" spans="1:57" ht="13.05" customHeight="1">
      <c r="A72" s="1532" t="s">
        <v>2160</v>
      </c>
      <c r="B72" s="1532"/>
      <c r="C72" s="1532"/>
      <c r="D72" s="1532"/>
      <c r="E72" s="1532"/>
      <c r="F72" s="1532"/>
      <c r="G72" s="1532"/>
      <c r="H72" s="1532"/>
      <c r="I72" s="1532"/>
      <c r="J72" s="1532"/>
      <c r="K72" s="1532"/>
      <c r="L72" s="1532"/>
      <c r="M72" s="1532"/>
      <c r="N72" s="1532"/>
      <c r="O72" s="1532"/>
      <c r="P72" s="1532"/>
      <c r="Q72" s="1532"/>
      <c r="R72" s="1532"/>
      <c r="S72" s="1532"/>
      <c r="T72" s="1532"/>
      <c r="U72" s="1532"/>
      <c r="V72" s="1532"/>
      <c r="W72" s="1532"/>
      <c r="X72" s="1532"/>
      <c r="Y72" s="1532"/>
      <c r="Z72" s="1532"/>
      <c r="AA72" s="1532"/>
      <c r="AB72" s="1532"/>
      <c r="AC72" s="1532"/>
      <c r="AD72" s="1532"/>
      <c r="AE72" s="1532"/>
      <c r="AF72" s="1532"/>
      <c r="AG72" s="1532"/>
      <c r="AH72" s="1532"/>
      <c r="AI72" s="1532"/>
      <c r="AJ72" s="1532"/>
      <c r="AK72" s="1532"/>
      <c r="AL72" s="1532"/>
      <c r="AM72" s="1532"/>
      <c r="AN72" s="1532"/>
      <c r="AO72" s="1532"/>
      <c r="AP72" s="1532"/>
      <c r="AQ72" s="1532"/>
      <c r="AR72" s="1532"/>
      <c r="AS72" s="1532"/>
      <c r="AT72" s="1532"/>
      <c r="AU72" s="20"/>
      <c r="AV72" s="20"/>
      <c r="AW72" s="20"/>
      <c r="AX72" s="20"/>
      <c r="AY72" s="20"/>
      <c r="AZ72" s="20"/>
      <c r="BD72" s="1252" t="s">
        <v>2568</v>
      </c>
      <c r="BE72" s="1253">
        <f>'Points System'!AF805</f>
        <v>0</v>
      </c>
    </row>
    <row r="73" spans="1:57" ht="13.05" customHeight="1">
      <c r="A73" s="1532"/>
      <c r="B73" s="1532"/>
      <c r="C73" s="1532"/>
      <c r="D73" s="1532"/>
      <c r="E73" s="1532"/>
      <c r="F73" s="1532"/>
      <c r="G73" s="1532"/>
      <c r="H73" s="1532"/>
      <c r="I73" s="1532"/>
      <c r="J73" s="1532"/>
      <c r="K73" s="1532"/>
      <c r="L73" s="1532"/>
      <c r="M73" s="1532"/>
      <c r="N73" s="1532"/>
      <c r="O73" s="1532"/>
      <c r="P73" s="1532"/>
      <c r="Q73" s="1532"/>
      <c r="R73" s="1532"/>
      <c r="S73" s="1532"/>
      <c r="T73" s="1532"/>
      <c r="U73" s="1532"/>
      <c r="V73" s="1532"/>
      <c r="W73" s="1532"/>
      <c r="X73" s="1532"/>
      <c r="Y73" s="1532"/>
      <c r="Z73" s="1532"/>
      <c r="AA73" s="1532"/>
      <c r="AB73" s="1532"/>
      <c r="AC73" s="1532"/>
      <c r="AD73" s="1532"/>
      <c r="AE73" s="1532"/>
      <c r="AF73" s="1532"/>
      <c r="AG73" s="1532"/>
      <c r="AH73" s="1532"/>
      <c r="AI73" s="1532"/>
      <c r="AJ73" s="1532"/>
      <c r="AK73" s="1532"/>
      <c r="AL73" s="1532"/>
      <c r="AM73" s="1532"/>
      <c r="AN73" s="1532"/>
      <c r="AO73" s="1532"/>
      <c r="AP73" s="1532"/>
      <c r="AQ73" s="1532"/>
      <c r="AR73" s="1532"/>
      <c r="AS73" s="1532"/>
      <c r="AT73" s="1532"/>
      <c r="AU73" s="20"/>
      <c r="AV73" s="20"/>
      <c r="AW73" s="20"/>
      <c r="AX73" s="20"/>
      <c r="AY73" s="20"/>
      <c r="AZ73" s="20"/>
      <c r="BD73" s="1251" t="s">
        <v>2569</v>
      </c>
      <c r="BE73" s="1253">
        <f>'Points System'!AF806</f>
        <v>19.999999999999996</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05" customHeight="1">
      <c r="A75" s="1540" t="s">
        <v>2161</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c r="BD75" s="1251" t="s">
        <v>2571</v>
      </c>
      <c r="BE75" s="1253">
        <f>'Points System'!AF808</f>
        <v>10</v>
      </c>
    </row>
    <row r="76" spans="1:57" ht="13.05"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c r="BD76" s="1252" t="s">
        <v>2572</v>
      </c>
      <c r="BE76" s="1253">
        <f>'Points System'!AF811</f>
        <v>0</v>
      </c>
    </row>
    <row r="77" spans="1:57" ht="13.05"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c r="BD77" s="1251" t="s">
        <v>2573</v>
      </c>
      <c r="BE77" s="1253">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05" customHeight="1">
      <c r="A79" s="1541" t="s">
        <v>2162</v>
      </c>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1541"/>
      <c r="AM79" s="1541"/>
      <c r="AN79" s="1541"/>
      <c r="AO79" s="1541"/>
      <c r="AP79" s="1541"/>
      <c r="AQ79" s="1541"/>
      <c r="AR79" s="1541"/>
      <c r="AS79" s="1541"/>
      <c r="AT79" s="1541"/>
      <c r="AU79" s="20"/>
      <c r="AV79" s="20"/>
      <c r="AW79" s="20"/>
      <c r="AX79" s="20"/>
      <c r="AY79" s="20"/>
      <c r="AZ79" s="20"/>
      <c r="BD79" s="1251" t="s">
        <v>2575</v>
      </c>
      <c r="BE79" s="1253">
        <f>'Points System'!AF815</f>
        <v>0</v>
      </c>
    </row>
    <row r="80" spans="1:57" ht="13.05" customHeight="1">
      <c r="A80" s="1541"/>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1541"/>
      <c r="AM80" s="1541"/>
      <c r="AN80" s="1541"/>
      <c r="AO80" s="1541"/>
      <c r="AP80" s="1541"/>
      <c r="AQ80" s="1541"/>
      <c r="AR80" s="1541"/>
      <c r="AS80" s="1541"/>
      <c r="AT80" s="1541"/>
      <c r="AU80" s="20"/>
      <c r="AV80" s="20"/>
      <c r="AW80" s="20"/>
      <c r="AX80" s="20"/>
      <c r="AY80" s="20"/>
      <c r="AZ80" s="20"/>
      <c r="BD80" s="1252" t="s">
        <v>2576</v>
      </c>
      <c r="BE80" s="1253">
        <f>'Points System'!AF817</f>
        <v>10</v>
      </c>
    </row>
    <row r="81" spans="1:57" ht="13.05" customHeight="1">
      <c r="A81" s="1541"/>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1541"/>
      <c r="AM81" s="1541"/>
      <c r="AN81" s="1541"/>
      <c r="AO81" s="1541"/>
      <c r="AP81" s="1541"/>
      <c r="AQ81" s="1541"/>
      <c r="AR81" s="1541"/>
      <c r="AS81" s="1541"/>
      <c r="AT81" s="1541"/>
      <c r="AU81" s="20"/>
      <c r="AV81" s="20"/>
      <c r="AW81" s="20"/>
      <c r="AX81" s="20"/>
      <c r="AY81" s="20"/>
      <c r="AZ81" s="20"/>
      <c r="BD81" s="1251" t="s">
        <v>2577</v>
      </c>
      <c r="BE81" s="1253">
        <f>'Points System'!AF818</f>
        <v>12</v>
      </c>
    </row>
    <row r="82" spans="1:57" ht="13.0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05" customHeight="1">
      <c r="A83" s="1259" t="s">
        <v>2163</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2579</v>
      </c>
      <c r="BE83" s="1257">
        <f>'Tie Breaker'!H5</f>
        <v>1.2581593930494657</v>
      </c>
    </row>
    <row r="84" spans="1:57" ht="13.05"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2580</v>
      </c>
      <c r="BE84" s="1253" t="str">
        <f>Application!O153</f>
        <v>City of Los Angeles</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Timothy Elliott</v>
      </c>
    </row>
    <row r="86" spans="1:57" ht="13.05" customHeight="1">
      <c r="A86" s="1259" t="s">
        <v>2164</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2582</v>
      </c>
      <c r="BE86" s="1253" t="str">
        <f>Application!O155</f>
        <v>City Manager</v>
      </c>
    </row>
    <row r="87" spans="1:57" ht="13.05"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2583</v>
      </c>
      <c r="BE87" s="1253" t="str">
        <f>Application!O156</f>
        <v>1200 W. 7th Street, 8th Floor</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Los Angeles</v>
      </c>
    </row>
    <row r="89" spans="1:57" ht="13.05" customHeight="1">
      <c r="A89" s="1549" t="s">
        <v>2165</v>
      </c>
      <c r="B89" s="1549"/>
      <c r="C89" s="1549"/>
      <c r="D89" s="1549"/>
      <c r="E89" s="1549"/>
      <c r="F89" s="1549"/>
      <c r="G89" s="1549"/>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549"/>
      <c r="AM89" s="1549"/>
      <c r="AN89" s="1549"/>
      <c r="AO89" s="1549"/>
      <c r="AP89" s="1549"/>
      <c r="AQ89" s="1549"/>
      <c r="AR89" s="1549"/>
      <c r="AS89" s="1549"/>
      <c r="AT89" s="1549"/>
      <c r="AU89" s="17"/>
      <c r="AV89" s="17"/>
      <c r="AW89" s="17"/>
      <c r="AX89" s="17"/>
      <c r="AY89" s="17"/>
      <c r="AZ89" s="20"/>
      <c r="BD89" s="1251" t="s">
        <v>2585</v>
      </c>
      <c r="BE89" s="1253">
        <f>Application!O158</f>
        <v>90017</v>
      </c>
    </row>
    <row r="90" spans="1:57" ht="13.05" customHeight="1">
      <c r="A90" s="1549"/>
      <c r="B90" s="1549"/>
      <c r="C90" s="1549"/>
      <c r="D90" s="1549"/>
      <c r="E90" s="1549"/>
      <c r="F90" s="1549"/>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549"/>
      <c r="AM90" s="1549"/>
      <c r="AN90" s="1549"/>
      <c r="AO90" s="1549"/>
      <c r="AP90" s="1549"/>
      <c r="AQ90" s="1549"/>
      <c r="AR90" s="1549"/>
      <c r="AS90" s="1549"/>
      <c r="AT90" s="1549"/>
      <c r="AU90" s="17"/>
      <c r="AV90" s="17"/>
      <c r="AW90" s="17"/>
      <c r="AX90" s="17"/>
      <c r="AY90" s="17"/>
      <c r="AZ90" s="20"/>
      <c r="BD90" s="1252" t="s">
        <v>2586</v>
      </c>
      <c r="BE90" s="1253" t="str">
        <f>Application!H16</f>
        <v>APS Venice LP</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1900 Huntington Drive</v>
      </c>
    </row>
    <row r="92" spans="1:57" ht="13.05" customHeight="1">
      <c r="A92" s="1540" t="s">
        <v>2166</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c r="BD92" s="1252" t="s">
        <v>2588</v>
      </c>
      <c r="BE92" s="1253" t="str">
        <f>Application!M234</f>
        <v>Duarte</v>
      </c>
    </row>
    <row r="93" spans="1:57" ht="13.05"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c r="BD93" s="1251" t="s">
        <v>2589</v>
      </c>
      <c r="BE93" s="1253" t="str">
        <f>Application!W234</f>
        <v>CA</v>
      </c>
    </row>
    <row r="94" spans="1:57" ht="13.05"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c r="BD94" s="1252" t="s">
        <v>2590</v>
      </c>
      <c r="BE94" s="1253">
        <f>Application!AC234</f>
        <v>91010</v>
      </c>
    </row>
    <row r="95" spans="1:57" ht="13.05"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c r="BD95" s="1251" t="s">
        <v>2591</v>
      </c>
      <c r="BE95" s="1253" t="str">
        <f>Application!M235</f>
        <v xml:space="preserve">Orest Dolyniuk </v>
      </c>
    </row>
    <row r="96" spans="1:57" ht="13.05"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c r="BD96" s="1252" t="s">
        <v>2592</v>
      </c>
      <c r="BE96" s="1253" t="str">
        <f>Application!M237</f>
        <v>OrestD@beacondevgroup.com</v>
      </c>
    </row>
    <row r="97" spans="1:57" ht="13.05"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c r="BD97" s="1251" t="s">
        <v>2593</v>
      </c>
      <c r="BE97" s="1253" t="str">
        <f>Application!M248</f>
        <v>MaryGrace.Crisostomo@HumanGood.org</v>
      </c>
    </row>
    <row r="98" spans="1:57" ht="13.05"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c r="BD98" s="1252" t="s">
        <v>2594</v>
      </c>
      <c r="BE98" s="1253">
        <f>Application!M256</f>
        <v>0</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05" customHeight="1">
      <c r="A100" s="1550" t="s">
        <v>2167</v>
      </c>
      <c r="B100" s="1550"/>
      <c r="C100" s="1550"/>
      <c r="D100" s="1550"/>
      <c r="E100" s="1550"/>
      <c r="F100" s="1550"/>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550"/>
      <c r="AM100" s="1550"/>
      <c r="AN100" s="1550"/>
      <c r="AO100" s="1550"/>
      <c r="AP100" s="1550"/>
      <c r="AQ100" s="1550"/>
      <c r="AR100" s="1550"/>
      <c r="AS100" s="1550"/>
      <c r="AT100" s="1550"/>
      <c r="AU100" s="20"/>
      <c r="AV100" s="20"/>
      <c r="AW100" s="20"/>
      <c r="AX100" s="20"/>
      <c r="AY100" s="20"/>
      <c r="AZ100" s="20"/>
      <c r="BD100" s="1252" t="s">
        <v>2596</v>
      </c>
      <c r="BE100" s="1253" t="str">
        <f>Application!L279</f>
        <v>OrestD@beacondevgroup.com</v>
      </c>
    </row>
    <row r="101" spans="1:57" ht="13.05" customHeight="1">
      <c r="A101" s="1550"/>
      <c r="B101" s="1550"/>
      <c r="C101" s="1550"/>
      <c r="D101" s="1550"/>
      <c r="E101" s="1550"/>
      <c r="F101" s="1550"/>
      <c r="G101" s="1550"/>
      <c r="H101" s="1550"/>
      <c r="I101" s="1550"/>
      <c r="J101" s="1550"/>
      <c r="K101" s="1550"/>
      <c r="L101" s="1550"/>
      <c r="M101" s="1550"/>
      <c r="N101" s="1550"/>
      <c r="O101" s="1550"/>
      <c r="P101" s="1550"/>
      <c r="Q101" s="1550"/>
      <c r="R101" s="1550"/>
      <c r="S101" s="1550"/>
      <c r="T101" s="1550"/>
      <c r="U101" s="1550"/>
      <c r="V101" s="1550"/>
      <c r="W101" s="1550"/>
      <c r="X101" s="1550"/>
      <c r="Y101" s="1550"/>
      <c r="Z101" s="1550"/>
      <c r="AA101" s="1550"/>
      <c r="AB101" s="1550"/>
      <c r="AC101" s="1550"/>
      <c r="AD101" s="1550"/>
      <c r="AE101" s="1550"/>
      <c r="AF101" s="1550"/>
      <c r="AG101" s="1550"/>
      <c r="AH101" s="1550"/>
      <c r="AI101" s="1550"/>
      <c r="AJ101" s="1550"/>
      <c r="AK101" s="1550"/>
      <c r="AL101" s="1550"/>
      <c r="AM101" s="1550"/>
      <c r="AN101" s="1550"/>
      <c r="AO101" s="1550"/>
      <c r="AP101" s="1550"/>
      <c r="AQ101" s="1550"/>
      <c r="AR101" s="1550"/>
      <c r="AS101" s="1550"/>
      <c r="AT101" s="1550"/>
      <c r="AU101" s="20"/>
      <c r="AV101" s="20"/>
      <c r="AW101" s="20"/>
      <c r="AX101" s="20"/>
      <c r="AY101" s="20"/>
      <c r="AZ101" s="20"/>
      <c r="BD101" s="3" t="s">
        <v>2601</v>
      </c>
      <c r="BE101">
        <f>'Sources and Uses Budget'!C105</f>
        <v>43264841</v>
      </c>
    </row>
    <row r="102" spans="1:57" ht="13.05" customHeight="1">
      <c r="A102" s="1550"/>
      <c r="B102" s="1550"/>
      <c r="C102" s="1550"/>
      <c r="D102" s="1550"/>
      <c r="E102" s="1550"/>
      <c r="F102" s="1550"/>
      <c r="G102" s="1550"/>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550"/>
      <c r="AM102" s="1550"/>
      <c r="AN102" s="1550"/>
      <c r="AO102" s="1550"/>
      <c r="AP102" s="1550"/>
      <c r="AQ102" s="1550"/>
      <c r="AR102" s="1550"/>
      <c r="AS102" s="1550"/>
      <c r="AT102" s="1550"/>
      <c r="AU102" s="20"/>
      <c r="AV102" s="20"/>
      <c r="AW102" s="20"/>
      <c r="AX102" s="20"/>
      <c r="AY102" s="20"/>
      <c r="AZ102" s="20"/>
      <c r="BD102" s="3" t="s">
        <v>2602</v>
      </c>
      <c r="BE102" t="b">
        <f>T197="Yes"</f>
        <v>0</v>
      </c>
    </row>
    <row r="103" spans="1:57" ht="13.05" customHeight="1">
      <c r="A103" s="1550"/>
      <c r="B103" s="1550"/>
      <c r="C103" s="1550"/>
      <c r="D103" s="1550"/>
      <c r="E103" s="1550"/>
      <c r="F103" s="1550"/>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550"/>
      <c r="AM103" s="1550"/>
      <c r="AN103" s="1550"/>
      <c r="AO103" s="1550"/>
      <c r="AP103" s="1550"/>
      <c r="AQ103" s="1550"/>
      <c r="AR103" s="1550"/>
      <c r="AS103" s="1550"/>
      <c r="AT103" s="1550"/>
      <c r="AU103" s="20"/>
      <c r="AV103" s="20"/>
      <c r="AW103" s="20"/>
      <c r="AX103" s="20"/>
      <c r="AY103" s="20"/>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550" t="s">
        <v>2168</v>
      </c>
      <c r="B105" s="1550"/>
      <c r="C105" s="1550"/>
      <c r="D105" s="1550"/>
      <c r="E105" s="1550"/>
      <c r="F105" s="1550"/>
      <c r="G105" s="1550"/>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550"/>
      <c r="AM105" s="1550"/>
      <c r="AN105" s="1550"/>
      <c r="AO105" s="1550"/>
      <c r="AP105" s="1550"/>
      <c r="AQ105" s="1550"/>
      <c r="AR105" s="1550"/>
      <c r="AS105" s="1550"/>
      <c r="AT105" s="1550"/>
      <c r="AU105" s="20"/>
      <c r="AV105" s="20"/>
      <c r="AW105" s="20"/>
      <c r="AX105" s="20"/>
      <c r="AY105" s="20"/>
    </row>
    <row r="106" spans="1:57" ht="13.05" customHeight="1">
      <c r="A106" s="1550"/>
      <c r="B106" s="1550"/>
      <c r="C106" s="1550"/>
      <c r="D106" s="1550"/>
      <c r="E106" s="1550"/>
      <c r="F106" s="1550"/>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1550"/>
      <c r="AM106" s="1550"/>
      <c r="AN106" s="1550"/>
      <c r="AO106" s="1550"/>
      <c r="AP106" s="1550"/>
      <c r="AQ106" s="1550"/>
      <c r="AR106" s="1550"/>
      <c r="AS106" s="1550"/>
      <c r="AT106" s="1550"/>
      <c r="AU106" s="20"/>
      <c r="AV106" s="20"/>
      <c r="AW106" s="20"/>
      <c r="AX106" s="20"/>
      <c r="AY106" s="20"/>
    </row>
    <row r="107" spans="1:57" ht="13.0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90"/>
      <c r="C113" s="3" t="s">
        <v>180</v>
      </c>
      <c r="G113" s="1543"/>
      <c r="H113" s="1543"/>
      <c r="I113" s="3" t="s">
        <v>181</v>
      </c>
      <c r="L113" s="1543"/>
      <c r="M113" s="1543"/>
      <c r="N113" s="1543"/>
      <c r="O113" s="1543"/>
      <c r="P113" s="1557" t="s">
        <v>2243</v>
      </c>
      <c r="Q113" s="1557"/>
      <c r="R113" s="1557"/>
      <c r="S113" s="155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544"/>
      <c r="D115" s="1544"/>
      <c r="E115" s="1544"/>
      <c r="F115" s="1544"/>
      <c r="G115" s="1544"/>
      <c r="H115" s="1544"/>
      <c r="I115" s="1544"/>
      <c r="J115" s="1544"/>
      <c r="K115" s="1544"/>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543"/>
      <c r="Z117" s="1543"/>
      <c r="AA117" s="1543"/>
      <c r="AB117" s="1543"/>
      <c r="AC117" s="1543"/>
      <c r="AD117" s="1543"/>
      <c r="AE117" s="1543"/>
      <c r="AF117" s="1543"/>
      <c r="AG117" s="1543"/>
      <c r="AH117" s="1543"/>
      <c r="AI117" s="1543"/>
      <c r="AJ117" s="1543"/>
      <c r="AK117" s="1543"/>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543"/>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8" t="s">
        <v>469</v>
      </c>
      <c r="CV122" s="1689"/>
      <c r="CW122" s="14"/>
      <c r="CX122" s="14" t="s">
        <v>634</v>
      </c>
      <c r="CY122" s="14"/>
      <c r="CZ122" s="14"/>
      <c r="DA122" s="14"/>
      <c r="DB122" s="14"/>
      <c r="DC122" s="14"/>
      <c r="DD122" s="14"/>
      <c r="DE122" s="14"/>
      <c r="DF122" s="14"/>
      <c r="DG122" s="1685" t="str">
        <f>T189</f>
        <v>Los Angeles</v>
      </c>
      <c r="DH122" s="1686"/>
      <c r="DI122" s="1686"/>
      <c r="DJ122" s="1686"/>
      <c r="DK122" s="1686"/>
      <c r="DL122" s="1686"/>
      <c r="DM122" s="1687"/>
    </row>
    <row r="123" spans="1:117" ht="13.05" customHeight="1">
      <c r="A123" s="3"/>
      <c r="B123" s="3"/>
      <c r="T123" s="3"/>
      <c r="U123" s="3"/>
      <c r="V123" s="3"/>
      <c r="W123" s="3"/>
      <c r="X123" s="3"/>
      <c r="Y123" s="1543"/>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5"/>
      <c r="AL128" s="355"/>
      <c r="AM128" s="355"/>
      <c r="AN128" s="355"/>
      <c r="AO128" s="355"/>
      <c r="AP128" s="355"/>
      <c r="AQ128" s="355"/>
      <c r="AR128" s="355"/>
      <c r="AS128" s="355"/>
      <c r="AT128" s="355"/>
      <c r="AU128" s="355"/>
      <c r="AV128" s="355"/>
      <c r="AW128" s="355"/>
      <c r="AX128" s="355"/>
      <c r="AY128" s="355"/>
    </row>
    <row r="129" spans="1:51" ht="13.0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0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0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0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0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0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0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0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0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05" customHeight="1">
      <c r="BM152">
        <v>4</v>
      </c>
      <c r="BN152" s="3" t="s">
        <v>2468</v>
      </c>
    </row>
    <row r="153" spans="1:108" ht="13.05" customHeight="1">
      <c r="D153" t="s">
        <v>645</v>
      </c>
      <c r="O153" s="1519" t="s">
        <v>875</v>
      </c>
      <c r="P153" s="1519"/>
      <c r="Q153" s="1519"/>
      <c r="R153" s="1519"/>
      <c r="S153" s="1519"/>
      <c r="T153" s="1519"/>
      <c r="U153" s="1519"/>
      <c r="V153" s="1519"/>
      <c r="W153" s="1519"/>
      <c r="X153" s="1519"/>
      <c r="Y153" s="1519"/>
      <c r="Z153" s="1519"/>
      <c r="AA153" s="1519"/>
      <c r="AB153" s="1519"/>
      <c r="AC153" s="1519"/>
      <c r="AD153" s="1519"/>
      <c r="AE153" s="1519"/>
      <c r="AF153" s="1519"/>
      <c r="AG153" s="1519"/>
      <c r="AH153" s="1519"/>
      <c r="BM153">
        <v>5</v>
      </c>
      <c r="BN153" s="3" t="s">
        <v>2470</v>
      </c>
      <c r="CR153" s="31" t="s">
        <v>2603</v>
      </c>
      <c r="CS153" s="32"/>
      <c r="CT153" s="32"/>
      <c r="CU153" s="32"/>
      <c r="CV153" s="32"/>
      <c r="CW153" s="32"/>
      <c r="CX153" s="14"/>
      <c r="CY153" s="31" t="s">
        <v>2604</v>
      </c>
      <c r="CZ153" s="14"/>
      <c r="DA153" s="14"/>
      <c r="DB153" s="14"/>
      <c r="DC153" s="14"/>
      <c r="DD153" s="14"/>
    </row>
    <row r="154" spans="1:108" ht="13.05" customHeight="1">
      <c r="D154" s="304" t="s">
        <v>439</v>
      </c>
      <c r="O154" s="1470" t="s">
        <v>2612</v>
      </c>
      <c r="P154" s="1470"/>
      <c r="Q154" s="1470"/>
      <c r="R154" s="1470"/>
      <c r="S154" s="1470"/>
      <c r="T154" s="1470"/>
      <c r="U154" s="1470"/>
      <c r="V154" s="1470"/>
      <c r="W154" s="1470"/>
      <c r="X154" s="1470"/>
      <c r="Y154" s="1470"/>
      <c r="Z154" s="1470"/>
      <c r="AA154" s="1470"/>
      <c r="AB154" s="1470"/>
      <c r="AC154" s="1470"/>
      <c r="AD154" s="1470"/>
      <c r="AE154" s="1470"/>
      <c r="AF154" s="1470"/>
      <c r="AG154" s="1470"/>
      <c r="AH154" s="1470"/>
      <c r="BM154">
        <v>6</v>
      </c>
      <c r="BN154" s="3" t="s">
        <v>2471</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529" t="s">
        <v>440</v>
      </c>
      <c r="P155" s="1529"/>
      <c r="Q155" s="1529"/>
      <c r="R155" s="1529"/>
      <c r="S155" s="1529"/>
      <c r="T155" s="1529"/>
      <c r="U155" s="1529"/>
      <c r="V155" s="1529"/>
      <c r="W155" s="1529"/>
      <c r="X155" s="1529"/>
      <c r="Y155" s="1529"/>
      <c r="Z155" s="1529"/>
      <c r="AA155" s="1529"/>
      <c r="AB155" s="1529"/>
      <c r="AC155" s="1529"/>
      <c r="AD155" s="1529"/>
      <c r="AE155" s="1529"/>
      <c r="AF155" s="1529"/>
      <c r="AG155" s="1529"/>
      <c r="AH155" s="1529"/>
      <c r="BM155">
        <v>7</v>
      </c>
      <c r="CR155" s="31"/>
      <c r="CS155" s="32"/>
      <c r="CT155" s="32"/>
      <c r="CU155" s="32"/>
      <c r="CV155" s="32"/>
      <c r="CW155" s="32"/>
      <c r="CX155" s="14"/>
      <c r="CY155" s="31"/>
      <c r="CZ155" s="14"/>
      <c r="DA155" s="14"/>
      <c r="DB155" s="14"/>
      <c r="DC155" s="14"/>
      <c r="DD155" s="14"/>
    </row>
    <row r="156" spans="1:108" ht="13.05" customHeight="1">
      <c r="D156" t="s">
        <v>312</v>
      </c>
      <c r="O156" s="1406" t="s">
        <v>2613</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519" t="s">
        <v>494</v>
      </c>
      <c r="P157" s="1519"/>
      <c r="Q157" s="1519"/>
      <c r="R157" s="1519"/>
      <c r="S157" s="1519"/>
      <c r="T157" s="1519"/>
      <c r="U157" s="1519"/>
      <c r="V157" s="1519"/>
      <c r="W157" s="1519"/>
      <c r="X157" s="1519"/>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553">
        <v>90017</v>
      </c>
      <c r="P158" s="1553"/>
      <c r="Q158" s="1553"/>
      <c r="R158" s="1553"/>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548" t="s">
        <v>2614</v>
      </c>
      <c r="P159" s="1548"/>
      <c r="Q159" s="1548"/>
      <c r="R159" s="1548"/>
      <c r="S159" s="1548"/>
      <c r="T159" s="1548"/>
      <c r="V159" s="97" t="s">
        <v>270</v>
      </c>
      <c r="W159" s="1554"/>
      <c r="X159" s="1554"/>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05" customHeight="1">
      <c r="D160" t="s">
        <v>316</v>
      </c>
      <c r="O160" s="1548" t="s">
        <v>2614</v>
      </c>
      <c r="P160" s="1548"/>
      <c r="Q160" s="1548"/>
      <c r="R160" s="1548"/>
      <c r="S160" s="1548"/>
      <c r="T160" s="1548"/>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05" customHeight="1">
      <c r="D161" t="s">
        <v>317</v>
      </c>
      <c r="O161" s="1536" t="s">
        <v>2615</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0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05" customHeight="1">
      <c r="C164" s="27"/>
      <c r="D164" s="1545" t="s">
        <v>2218</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05" customHeight="1">
      <c r="A169" s="1531" t="s">
        <v>539</v>
      </c>
      <c r="B169" s="1531"/>
      <c r="C169" s="1531"/>
      <c r="D169" s="1531"/>
      <c r="E169" s="1531"/>
      <c r="F169" s="1531"/>
      <c r="G169" s="1531"/>
      <c r="H169" s="1531"/>
      <c r="I169" s="1531"/>
      <c r="J169" s="1531"/>
      <c r="K169" s="1531"/>
      <c r="L169" s="1531"/>
      <c r="M169" s="1531"/>
      <c r="N169" s="1531"/>
      <c r="O169" s="1531"/>
      <c r="P169" s="1531"/>
      <c r="Q169" s="1531"/>
      <c r="R169" s="1531"/>
      <c r="S169" s="1531"/>
      <c r="T169" s="1531"/>
      <c r="U169" s="1531"/>
      <c r="V169" s="1531"/>
      <c r="W169" s="1531"/>
      <c r="X169" s="1531"/>
      <c r="Y169" s="1531"/>
      <c r="Z169" s="1531"/>
      <c r="AA169" s="1531"/>
      <c r="AB169" s="1531"/>
      <c r="AC169" s="1531"/>
      <c r="AD169" s="1531"/>
      <c r="AE169" s="1531"/>
      <c r="AF169" s="1531"/>
      <c r="AG169" s="1531"/>
      <c r="AH169" s="1531"/>
      <c r="AI169" s="1531"/>
      <c r="AJ169" s="1531"/>
      <c r="AK169" s="1531"/>
      <c r="AL169" s="1531"/>
      <c r="AM169" s="1531"/>
      <c r="AN169" s="1531"/>
      <c r="AO169" s="1531"/>
      <c r="AP169" s="1531"/>
      <c r="AQ169" s="1531"/>
      <c r="AR169" s="1531"/>
      <c r="AS169" s="1531"/>
      <c r="AT169" s="1531"/>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05" customHeight="1">
      <c r="A170" s="1531"/>
      <c r="B170" s="1531"/>
      <c r="C170" s="1531"/>
      <c r="D170" s="1531"/>
      <c r="E170" s="1531"/>
      <c r="F170" s="1531"/>
      <c r="G170" s="1531"/>
      <c r="H170" s="1531"/>
      <c r="I170" s="1531"/>
      <c r="J170" s="1531"/>
      <c r="K170" s="1531"/>
      <c r="L170" s="1531"/>
      <c r="M170" s="1531"/>
      <c r="N170" s="1531"/>
      <c r="O170" s="1531"/>
      <c r="P170" s="1531"/>
      <c r="Q170" s="1531"/>
      <c r="R170" s="1531"/>
      <c r="S170" s="1531"/>
      <c r="T170" s="1531"/>
      <c r="U170" s="1531"/>
      <c r="V170" s="1531"/>
      <c r="W170" s="1531"/>
      <c r="X170" s="1531"/>
      <c r="Y170" s="1531"/>
      <c r="Z170" s="1531"/>
      <c r="AA170" s="1531"/>
      <c r="AB170" s="1531"/>
      <c r="AC170" s="1531"/>
      <c r="AD170" s="1531"/>
      <c r="AE170" s="1531"/>
      <c r="AF170" s="1531"/>
      <c r="AG170" s="1531"/>
      <c r="AH170" s="1531"/>
      <c r="AI170" s="1531"/>
      <c r="AJ170" s="1531"/>
      <c r="AK170" s="1531"/>
      <c r="AL170" s="1531"/>
      <c r="AM170" s="1531"/>
      <c r="AN170" s="1531"/>
      <c r="AO170" s="1531"/>
      <c r="AP170" s="1531"/>
      <c r="AQ170" s="1531"/>
      <c r="AR170" s="1531"/>
      <c r="AS170" s="1531"/>
      <c r="AT170" s="1531"/>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0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0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05" customHeight="1">
      <c r="C173" s="24"/>
      <c r="D173" t="s">
        <v>320</v>
      </c>
      <c r="J173" s="1528" t="s">
        <v>370</v>
      </c>
      <c r="K173" s="1528"/>
      <c r="L173" s="1528"/>
      <c r="M173" s="1528"/>
      <c r="N173" s="1528"/>
      <c r="O173" s="1528"/>
      <c r="P173" s="1528"/>
      <c r="Q173" s="1528"/>
      <c r="R173" s="1528"/>
      <c r="S173" s="1528"/>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05" customHeight="1">
      <c r="C174" s="24"/>
      <c r="D174" s="3" t="s">
        <v>1202</v>
      </c>
      <c r="J174" s="1406" t="s">
        <v>2103</v>
      </c>
      <c r="K174" s="1406"/>
      <c r="L174" s="1406"/>
      <c r="M174" s="1406"/>
      <c r="N174" s="1406"/>
      <c r="O174" s="1406"/>
      <c r="P174" s="1406"/>
      <c r="Q174" s="1406"/>
      <c r="R174" s="1406"/>
      <c r="S174" s="1406"/>
      <c r="T174" s="1406"/>
      <c r="U174" s="1406"/>
      <c r="V174" s="1406"/>
      <c r="W174" s="1406"/>
      <c r="X174" s="1406"/>
      <c r="Y174" s="1406"/>
      <c r="Z174" s="1406"/>
      <c r="AA174" s="1406"/>
      <c r="AB174" s="1406"/>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05" customHeight="1">
      <c r="C175" s="8"/>
      <c r="D175" s="3" t="s">
        <v>321</v>
      </c>
      <c r="O175" s="27"/>
      <c r="U175" s="1414" t="s">
        <v>545</v>
      </c>
      <c r="V175" s="1414"/>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05" customHeight="1">
      <c r="C176" s="8"/>
      <c r="D176" s="26"/>
      <c r="E176" t="s">
        <v>303</v>
      </c>
      <c r="O176" s="27"/>
      <c r="P176" t="s">
        <v>2081</v>
      </c>
      <c r="T176" s="27" t="s">
        <v>304</v>
      </c>
      <c r="U176" s="1507">
        <v>24</v>
      </c>
      <c r="V176" s="1507"/>
      <c r="W176" s="1" t="s">
        <v>305</v>
      </c>
      <c r="X176" s="1561">
        <v>714</v>
      </c>
      <c r="Y176" s="1561"/>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05" customHeight="1">
      <c r="C177" s="24"/>
      <c r="D177" t="s">
        <v>248</v>
      </c>
      <c r="R177" s="1414" t="s">
        <v>669</v>
      </c>
      <c r="S177" s="1414"/>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05" customHeight="1">
      <c r="C178" s="24"/>
      <c r="D178" s="3" t="s">
        <v>1203</v>
      </c>
      <c r="AA178" t="s">
        <v>2081</v>
      </c>
      <c r="AE178" s="27" t="s">
        <v>304</v>
      </c>
      <c r="AF178" s="1560"/>
      <c r="AG178" s="1560"/>
      <c r="AH178" s="1" t="s">
        <v>305</v>
      </c>
      <c r="AI178" s="1445"/>
      <c r="AJ178" s="1445"/>
      <c r="AK178" s="1445"/>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0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05" customHeight="1">
      <c r="C180" s="24"/>
      <c r="D180" t="s">
        <v>2082</v>
      </c>
      <c r="X180" s="1414" t="s">
        <v>669</v>
      </c>
      <c r="Y180" s="1414"/>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05"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0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0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05" customHeight="1">
      <c r="C184" s="21"/>
      <c r="D184" t="s">
        <v>578</v>
      </c>
      <c r="I184" s="1482" t="str">
        <f>H18</f>
        <v>Adda and Paul Safran Senior Housing</v>
      </c>
      <c r="J184" s="1482"/>
      <c r="K184" s="1482"/>
      <c r="L184" s="1482"/>
      <c r="M184" s="1482"/>
      <c r="N184" s="1482"/>
      <c r="O184" s="1482"/>
      <c r="P184" s="1482"/>
      <c r="Q184" s="1482"/>
      <c r="R184" s="1482"/>
      <c r="S184" s="1482"/>
      <c r="T184" s="1482"/>
      <c r="U184" s="1482"/>
      <c r="V184" s="1482"/>
      <c r="W184" s="1482"/>
      <c r="X184" s="1482"/>
      <c r="Y184" s="1482"/>
      <c r="Z184" s="1482"/>
      <c r="AA184" s="1482"/>
      <c r="AB184" s="1482"/>
      <c r="AC184" s="1482"/>
      <c r="AD184" s="1482"/>
      <c r="AE184" s="1482"/>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05" customHeight="1">
      <c r="C185" s="21"/>
      <c r="D185" t="s">
        <v>579</v>
      </c>
      <c r="I185" s="1370" t="s">
        <v>2616</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0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05" customHeight="1">
      <c r="C187" s="21"/>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05" customHeight="1">
      <c r="C188" s="21"/>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05" customHeight="1">
      <c r="C189" s="21"/>
      <c r="D189" t="s">
        <v>580</v>
      </c>
      <c r="I189" s="1526" t="s">
        <v>2617</v>
      </c>
      <c r="J189" s="1406"/>
      <c r="K189" s="1406"/>
      <c r="L189" s="1406"/>
      <c r="M189" s="1406"/>
      <c r="N189" s="1406"/>
      <c r="O189" s="1406"/>
      <c r="P189" s="1406"/>
      <c r="Q189" t="s">
        <v>582</v>
      </c>
      <c r="T189" s="1406" t="s">
        <v>494</v>
      </c>
      <c r="U189" s="1406"/>
      <c r="V189" s="1406"/>
      <c r="W189" s="1406"/>
      <c r="X189" s="1406"/>
      <c r="Y189" s="1406"/>
      <c r="Z189" s="1406"/>
      <c r="AA189" s="1406"/>
      <c r="AB189" s="1406"/>
      <c r="AC189" s="1406"/>
      <c r="AD189" s="1406"/>
      <c r="AE189" s="1406"/>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05" customHeight="1">
      <c r="C190" s="21"/>
      <c r="D190" t="s">
        <v>583</v>
      </c>
      <c r="I190" s="1370">
        <v>90291</v>
      </c>
      <c r="J190" s="1370"/>
      <c r="K190" s="1370"/>
      <c r="L190" s="1370"/>
      <c r="M190" s="1370"/>
      <c r="N190" s="1370"/>
      <c r="O190" t="s">
        <v>585</v>
      </c>
      <c r="T190" s="1551">
        <v>2734.03</v>
      </c>
      <c r="U190" s="1551"/>
      <c r="V190" s="1551"/>
      <c r="W190" s="1551"/>
      <c r="X190" s="1551"/>
      <c r="Y190" s="1551"/>
      <c r="Z190" s="1551"/>
      <c r="AA190" s="1551"/>
      <c r="AB190" s="1551"/>
      <c r="AC190" s="1551"/>
      <c r="AD190" s="1551"/>
      <c r="AE190" s="1551"/>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05" customHeight="1">
      <c r="C191" s="21"/>
      <c r="D191" t="s">
        <v>462</v>
      </c>
      <c r="N191" s="1522" t="s">
        <v>2618</v>
      </c>
      <c r="O191" s="1522"/>
      <c r="P191" s="1522"/>
      <c r="Q191" s="1522"/>
      <c r="R191" s="1522"/>
      <c r="S191" s="1522"/>
      <c r="T191" s="1522"/>
      <c r="U191" s="1522"/>
      <c r="V191" s="1522"/>
      <c r="W191" s="1522"/>
      <c r="X191" s="1522"/>
      <c r="Y191" s="1522"/>
      <c r="Z191" s="1522"/>
      <c r="AA191" s="1522"/>
      <c r="AB191" s="1522"/>
      <c r="AC191" s="1522"/>
      <c r="AD191" s="1522"/>
      <c r="AE191" s="1522"/>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05" customHeight="1">
      <c r="C192" s="21"/>
      <c r="M192" s="40"/>
      <c r="N192" s="1523"/>
      <c r="O192" s="1523"/>
      <c r="P192" s="1523"/>
      <c r="Q192" s="1523"/>
      <c r="R192" s="1523"/>
      <c r="S192" s="1523"/>
      <c r="T192" s="1523"/>
      <c r="U192" s="1523"/>
      <c r="V192" s="1523"/>
      <c r="W192" s="1523"/>
      <c r="X192" s="1523"/>
      <c r="Y192" s="1523"/>
      <c r="Z192" s="1523"/>
      <c r="AA192" s="1523"/>
      <c r="AB192" s="1523"/>
      <c r="AC192" s="1523"/>
      <c r="AD192" s="1523"/>
      <c r="AE192" s="1523"/>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05" customHeight="1">
      <c r="C193" s="21"/>
      <c r="D193" t="s">
        <v>2083</v>
      </c>
      <c r="M193" s="40"/>
      <c r="N193" s="895"/>
      <c r="O193" s="895"/>
      <c r="P193" s="895"/>
      <c r="Q193" s="895"/>
      <c r="R193" s="895"/>
      <c r="S193" s="895"/>
      <c r="T193" s="1555" t="s">
        <v>1970</v>
      </c>
      <c r="U193" s="1555"/>
      <c r="V193" s="1555"/>
      <c r="W193" s="1555"/>
      <c r="X193" s="1555"/>
      <c r="Y193" s="1555"/>
      <c r="Z193" s="1555"/>
      <c r="AA193" s="1555"/>
      <c r="AB193" s="1555"/>
      <c r="AC193" s="1555"/>
      <c r="AD193" s="1555"/>
      <c r="AE193" s="1555"/>
      <c r="AF193" s="1555"/>
      <c r="AG193" s="1555"/>
      <c r="AH193" s="1555"/>
      <c r="AI193" s="1555"/>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05" customHeight="1">
      <c r="C194" s="21"/>
      <c r="D194" s="3" t="s">
        <v>2217</v>
      </c>
      <c r="M194" s="40"/>
      <c r="N194" s="895"/>
      <c r="O194" s="895"/>
      <c r="P194" s="895"/>
      <c r="Q194" s="895"/>
      <c r="R194" s="895"/>
      <c r="S194" s="895"/>
      <c r="AH194" s="1414" t="s">
        <v>669</v>
      </c>
      <c r="AI194" s="1414"/>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05" customHeight="1">
      <c r="C195" s="21"/>
      <c r="D195" t="s">
        <v>330</v>
      </c>
      <c r="T195" s="1414" t="s">
        <v>545</v>
      </c>
      <c r="U195" s="1414"/>
      <c r="W195" t="s">
        <v>684</v>
      </c>
      <c r="AH195" s="1414">
        <v>36</v>
      </c>
      <c r="AI195" s="1414"/>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05" customHeight="1">
      <c r="C196" s="21"/>
      <c r="D196" t="s">
        <v>385</v>
      </c>
      <c r="T196" s="1426" t="s">
        <v>669</v>
      </c>
      <c r="U196" s="1426"/>
      <c r="W196" t="s">
        <v>685</v>
      </c>
      <c r="AH196" s="1414">
        <v>61</v>
      </c>
      <c r="AI196" s="1414"/>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05" customHeight="1">
      <c r="C197" s="21"/>
      <c r="D197" s="3" t="s">
        <v>168</v>
      </c>
      <c r="T197" s="1426" t="s">
        <v>669</v>
      </c>
      <c r="U197" s="1426"/>
      <c r="W197" t="s">
        <v>686</v>
      </c>
      <c r="AH197" s="1414">
        <v>24</v>
      </c>
      <c r="AI197" s="1414"/>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05" customHeight="1">
      <c r="A198"/>
      <c r="B198"/>
      <c r="C198" s="21"/>
      <c r="D198" s="3" t="s">
        <v>1652</v>
      </c>
      <c r="E198"/>
      <c r="F198"/>
      <c r="G198"/>
      <c r="H198"/>
      <c r="I198"/>
      <c r="J198"/>
      <c r="K198"/>
      <c r="L198"/>
      <c r="M198"/>
      <c r="N198"/>
      <c r="O198"/>
      <c r="P198"/>
      <c r="Q198"/>
      <c r="R198"/>
      <c r="S198"/>
      <c r="T198" s="1426">
        <v>0</v>
      </c>
      <c r="U198" s="1426"/>
      <c r="V198"/>
      <c r="X198" s="1532" t="s">
        <v>2517</v>
      </c>
      <c r="Y198" s="1532"/>
      <c r="Z198" s="1532"/>
      <c r="AA198" s="1532"/>
      <c r="AB198" s="1532"/>
      <c r="AC198" s="1532"/>
      <c r="AD198" s="1532"/>
      <c r="AE198" s="1532"/>
      <c r="AF198" s="1532"/>
      <c r="AG198" s="1532"/>
      <c r="AH198" s="1532"/>
      <c r="AI198" s="1532"/>
      <c r="AJ198" s="1532"/>
      <c r="AK198" s="1532"/>
      <c r="AL198" s="1532"/>
      <c r="AM198" s="1532"/>
      <c r="AN198" s="1532"/>
      <c r="AO198" s="1532"/>
      <c r="AP198" s="1532"/>
      <c r="AQ198" s="1532"/>
      <c r="AR198" s="1532"/>
      <c r="AS198" s="1532"/>
      <c r="AT198" s="1532"/>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05" customHeight="1">
      <c r="A199"/>
      <c r="B199"/>
      <c r="C199" s="21"/>
      <c r="D199" s="118" t="s">
        <v>2520</v>
      </c>
      <c r="E199"/>
      <c r="F199"/>
      <c r="G199"/>
      <c r="H199"/>
      <c r="I199"/>
      <c r="J199"/>
      <c r="K199"/>
      <c r="L199"/>
      <c r="M199"/>
      <c r="N199"/>
      <c r="O199"/>
      <c r="P199"/>
      <c r="Q199"/>
      <c r="R199"/>
      <c r="S199"/>
      <c r="T199" s="1414" t="s">
        <v>669</v>
      </c>
      <c r="U199" s="1414"/>
      <c r="V199"/>
      <c r="W199"/>
      <c r="X199" s="1532"/>
      <c r="Y199" s="1532"/>
      <c r="Z199" s="1532"/>
      <c r="AA199" s="1532"/>
      <c r="AB199" s="1532"/>
      <c r="AC199" s="1532"/>
      <c r="AD199" s="1532"/>
      <c r="AE199" s="1532"/>
      <c r="AF199" s="1532"/>
      <c r="AG199" s="1532"/>
      <c r="AH199" s="1532"/>
      <c r="AI199" s="1532"/>
      <c r="AJ199" s="1532"/>
      <c r="AK199" s="1532"/>
      <c r="AL199" s="1532"/>
      <c r="AM199" s="1532"/>
      <c r="AN199" s="1532"/>
      <c r="AO199" s="1532"/>
      <c r="AP199" s="1532"/>
      <c r="AQ199" s="1532"/>
      <c r="AR199" s="1532"/>
      <c r="AS199" s="1532"/>
      <c r="AT199" s="1532"/>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05" customHeight="1">
      <c r="A200"/>
      <c r="B200"/>
      <c r="C200" s="21"/>
      <c r="D200" s="14" t="s">
        <v>2518</v>
      </c>
      <c r="T200" s="1414" t="s">
        <v>669</v>
      </c>
      <c r="U200" s="1414"/>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0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0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05"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05" customHeight="1">
      <c r="D204" s="1482" t="s">
        <v>384</v>
      </c>
      <c r="E204" s="1482"/>
      <c r="F204" s="1482"/>
      <c r="G204" s="1482"/>
      <c r="H204" s="1482"/>
      <c r="I204" s="1482"/>
      <c r="J204" s="1482"/>
      <c r="K204" s="1482"/>
      <c r="L204" s="1482"/>
      <c r="M204" s="1482"/>
      <c r="P204" s="1546">
        <f>M26</f>
        <v>1624431</v>
      </c>
      <c r="Q204" s="1547"/>
      <c r="R204" s="1547"/>
      <c r="S204" s="1547"/>
      <c r="T204" s="1547"/>
      <c r="U204" s="1547"/>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05" customHeight="1">
      <c r="C205" s="21"/>
      <c r="D205" s="1534" t="s">
        <v>1247</v>
      </c>
      <c r="E205" s="1482"/>
      <c r="F205" s="1482"/>
      <c r="G205" s="1482"/>
      <c r="H205" s="1482"/>
      <c r="I205" s="1482"/>
      <c r="J205" s="1482"/>
      <c r="K205" s="1482"/>
      <c r="L205" s="1482"/>
      <c r="M205" s="1482"/>
      <c r="P205" s="1547">
        <f>M27</f>
        <v>0</v>
      </c>
      <c r="Q205" s="1547"/>
      <c r="R205" s="1547"/>
      <c r="S205" s="1547"/>
      <c r="T205" s="1547"/>
      <c r="U205" s="1547"/>
      <c r="V205" s="28"/>
      <c r="W205" s="3" t="s">
        <v>1720</v>
      </c>
      <c r="Z205" s="1530" t="s">
        <v>1184</v>
      </c>
      <c r="AA205" s="1530"/>
      <c r="AB205" s="1530"/>
      <c r="AC205" s="1530"/>
      <c r="AD205" s="1530"/>
      <c r="AE205" s="1530"/>
      <c r="AF205" s="1530"/>
      <c r="AG205" s="1530"/>
      <c r="AH205" s="1530"/>
      <c r="AI205" s="1530"/>
      <c r="AJ205" s="1530"/>
      <c r="AK205" s="1530"/>
      <c r="AL205" s="1530"/>
      <c r="AM205" s="1530"/>
      <c r="AN205" s="1530"/>
      <c r="AP205" s="1404"/>
      <c r="AQ205" s="1404"/>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05"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05" customHeight="1">
      <c r="C208" s="21"/>
      <c r="D208" s="1519" t="s">
        <v>2619</v>
      </c>
      <c r="E208" s="1519"/>
      <c r="F208" s="1519"/>
      <c r="G208" s="1519"/>
      <c r="H208" s="1519"/>
      <c r="I208" s="1519"/>
      <c r="J208" s="1519"/>
      <c r="K208" s="1519"/>
      <c r="L208" s="1519"/>
      <c r="M208" s="1519"/>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05"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0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05" customHeight="1">
      <c r="C211" s="21"/>
      <c r="D211" s="1519" t="s">
        <v>1857</v>
      </c>
      <c r="E211" s="1519"/>
      <c r="F211" s="1519"/>
      <c r="G211" s="1519"/>
      <c r="H211" s="1519"/>
      <c r="I211" s="1519"/>
      <c r="J211" s="1519"/>
      <c r="K211" s="1519"/>
      <c r="L211" s="1519"/>
      <c r="M211" s="1519"/>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05" customHeight="1">
      <c r="C212" s="21"/>
      <c r="D212" s="3" t="s">
        <v>2234</v>
      </c>
      <c r="Q212" s="1414">
        <v>0</v>
      </c>
      <c r="R212" s="1414"/>
      <c r="T212" s="1558">
        <f>IFERROR(Q212/AG440,0)</f>
        <v>0</v>
      </c>
      <c r="U212" s="1559"/>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05"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05" customHeight="1">
      <c r="D214" s="1542" t="s">
        <v>591</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05" customHeight="1">
      <c r="D215" s="3" t="s">
        <v>1653</v>
      </c>
      <c r="Z215" s="40"/>
      <c r="AB215" s="1517"/>
      <c r="AC215" s="1517"/>
      <c r="AD215" s="1517"/>
      <c r="AE215" s="1517"/>
      <c r="AF215" s="1517"/>
      <c r="AG215" s="1517"/>
      <c r="AH215" s="1517"/>
      <c r="AI215" s="1517"/>
      <c r="AJ215" s="1517"/>
      <c r="AK215" s="1517"/>
      <c r="AL215" s="1517"/>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05" customHeight="1">
      <c r="D216" s="3" t="s">
        <v>1651</v>
      </c>
      <c r="Z216" s="40"/>
      <c r="AB216" s="1517"/>
      <c r="AC216" s="1517"/>
      <c r="AD216" s="1517"/>
      <c r="AE216" s="1517"/>
      <c r="AF216" s="1517"/>
      <c r="AG216" s="1517"/>
      <c r="AH216" s="1517"/>
      <c r="AI216" s="1517"/>
      <c r="AJ216" s="1517"/>
      <c r="AK216" s="1517"/>
      <c r="AL216" s="1517"/>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05" customHeight="1">
      <c r="A218" s="2" t="s">
        <v>592</v>
      </c>
      <c r="C218" s="2" t="s">
        <v>2237</v>
      </c>
      <c r="D218" s="28"/>
      <c r="AC218" s="2" t="s">
        <v>2466</v>
      </c>
      <c r="BC218" t="s">
        <v>529</v>
      </c>
    </row>
    <row r="219" spans="1:108" ht="13.05" customHeight="1">
      <c r="A219" s="2"/>
      <c r="C219" s="2"/>
      <c r="D219" s="3" t="s">
        <v>2467</v>
      </c>
      <c r="AZ219" s="3"/>
      <c r="BA219" s="3"/>
      <c r="BC219" t="s">
        <v>376</v>
      </c>
    </row>
    <row r="220" spans="1:108" ht="13.05" customHeight="1">
      <c r="A220" s="2"/>
      <c r="C220" s="2"/>
      <c r="D220" s="1519" t="s">
        <v>875</v>
      </c>
      <c r="E220" s="1519"/>
      <c r="F220" s="1519"/>
      <c r="G220" s="1519"/>
      <c r="H220" s="1519"/>
      <c r="I220" s="1519"/>
      <c r="J220" s="1519"/>
      <c r="K220" s="1519"/>
      <c r="L220" s="1519"/>
      <c r="M220" s="1519"/>
      <c r="N220" s="1519"/>
      <c r="O220" s="1519"/>
      <c r="P220" s="1519"/>
      <c r="Q220" s="1519"/>
      <c r="R220" s="1519"/>
      <c r="S220" s="1519"/>
      <c r="T220" s="1519"/>
      <c r="U220" s="1519"/>
      <c r="V220" s="1519"/>
      <c r="W220" s="1519"/>
      <c r="X220" s="1519"/>
      <c r="Y220" s="1519"/>
      <c r="Z220" s="1519"/>
      <c r="AC220" s="1533" t="s">
        <v>875</v>
      </c>
      <c r="AD220" s="1533"/>
      <c r="AE220" s="1533"/>
      <c r="AF220" s="1533"/>
      <c r="AG220" s="1533"/>
      <c r="AH220" s="1533"/>
      <c r="AI220" s="1533"/>
      <c r="AJ220" s="1533"/>
      <c r="AK220" s="1533"/>
      <c r="AL220" s="1533"/>
      <c r="AM220" s="1533"/>
      <c r="AN220" s="1533"/>
      <c r="AO220" s="1533"/>
      <c r="AP220" s="1533"/>
      <c r="AQ220" s="1533"/>
      <c r="BA220" s="3"/>
      <c r="BC220" t="s">
        <v>299</v>
      </c>
    </row>
    <row r="221" spans="1:108" ht="13.05" customHeight="1">
      <c r="A221" s="2"/>
      <c r="B221" s="14"/>
      <c r="C221" s="2"/>
      <c r="BA221" s="3"/>
    </row>
    <row r="222" spans="1:108" ht="13.05" customHeight="1">
      <c r="A222" s="1531" t="s">
        <v>540</v>
      </c>
      <c r="B222" s="1531"/>
      <c r="C222" s="1531"/>
      <c r="D222" s="1531"/>
      <c r="E222" s="1531"/>
      <c r="F222" s="1531"/>
      <c r="G222" s="1531"/>
      <c r="H222" s="1531"/>
      <c r="I222" s="1531"/>
      <c r="J222" s="1531"/>
      <c r="K222" s="1531"/>
      <c r="L222" s="1531"/>
      <c r="M222" s="1531"/>
      <c r="N222" s="1531"/>
      <c r="O222" s="1531"/>
      <c r="P222" s="1531"/>
      <c r="Q222" s="1531"/>
      <c r="R222" s="1531"/>
      <c r="S222" s="1531"/>
      <c r="T222" s="1531"/>
      <c r="U222" s="1531"/>
      <c r="V222" s="1531"/>
      <c r="W222" s="1531"/>
      <c r="X222" s="1531"/>
      <c r="Y222" s="1531"/>
      <c r="Z222" s="1531"/>
      <c r="AA222" s="1531"/>
      <c r="AB222" s="1531"/>
      <c r="AC222" s="1531"/>
      <c r="AD222" s="1531"/>
      <c r="AE222" s="1531"/>
      <c r="AF222" s="1531"/>
      <c r="AG222" s="1531"/>
      <c r="AH222" s="1531"/>
      <c r="AI222" s="1531"/>
      <c r="AJ222" s="1531"/>
      <c r="AK222" s="1531"/>
      <c r="AL222" s="1531"/>
      <c r="AM222" s="1531"/>
      <c r="AN222" s="1531"/>
      <c r="AO222" s="1531"/>
      <c r="AP222" s="1531"/>
      <c r="AQ222" s="1531"/>
      <c r="AR222" s="1531"/>
      <c r="AS222" s="1531"/>
      <c r="AT222" s="1531"/>
      <c r="AU222" s="95"/>
      <c r="AV222" s="95"/>
      <c r="AW222" s="95"/>
      <c r="AX222" s="95"/>
      <c r="AY222" s="95"/>
      <c r="AZ222" s="3"/>
      <c r="BA222" s="3"/>
      <c r="BP222" s="34"/>
    </row>
    <row r="223" spans="1:108" ht="13.05" customHeight="1">
      <c r="A223" s="1531"/>
      <c r="B223" s="1531"/>
      <c r="C223" s="1531"/>
      <c r="D223" s="1531"/>
      <c r="E223" s="1531"/>
      <c r="F223" s="1531"/>
      <c r="G223" s="1531"/>
      <c r="H223" s="1531"/>
      <c r="I223" s="1531"/>
      <c r="J223" s="1531"/>
      <c r="K223" s="1531"/>
      <c r="L223" s="1531"/>
      <c r="M223" s="1531"/>
      <c r="N223" s="1531"/>
      <c r="O223" s="1531"/>
      <c r="P223" s="1531"/>
      <c r="Q223" s="1531"/>
      <c r="R223" s="1531"/>
      <c r="S223" s="1531"/>
      <c r="T223" s="1531"/>
      <c r="U223" s="1531"/>
      <c r="V223" s="1531"/>
      <c r="W223" s="1531"/>
      <c r="X223" s="1531"/>
      <c r="Y223" s="1531"/>
      <c r="Z223" s="1531"/>
      <c r="AA223" s="1531"/>
      <c r="AB223" s="1531"/>
      <c r="AC223" s="1531"/>
      <c r="AD223" s="1531"/>
      <c r="AE223" s="1531"/>
      <c r="AF223" s="1531"/>
      <c r="AG223" s="1531"/>
      <c r="AH223" s="1531"/>
      <c r="AI223" s="1531"/>
      <c r="AJ223" s="1531"/>
      <c r="AK223" s="1531"/>
      <c r="AL223" s="1531"/>
      <c r="AM223" s="1531"/>
      <c r="AN223" s="1531"/>
      <c r="AO223" s="1531"/>
      <c r="AP223" s="1531"/>
      <c r="AQ223" s="1531"/>
      <c r="AR223" s="1531"/>
      <c r="AS223" s="1531"/>
      <c r="AT223" s="1531"/>
      <c r="BA223" s="3"/>
      <c r="BB223" s="3"/>
      <c r="BQ223" s="34"/>
    </row>
    <row r="224" spans="1:108" ht="13.05" customHeight="1">
      <c r="AZ224" s="4"/>
      <c r="BA224" s="3"/>
      <c r="BB224" s="3"/>
      <c r="BQ224" s="34"/>
    </row>
    <row r="225" spans="1:59" ht="13.05"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591</v>
      </c>
      <c r="AJ226" s="1414"/>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545</v>
      </c>
      <c r="AJ227" s="1414"/>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545</v>
      </c>
      <c r="AJ228" s="1414"/>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0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591</v>
      </c>
      <c r="AJ229" s="1414"/>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0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05" customHeight="1">
      <c r="D232" s="4" t="s">
        <v>470</v>
      </c>
      <c r="E232" s="4"/>
      <c r="F232" s="4"/>
      <c r="G232" s="4"/>
      <c r="H232" s="4"/>
      <c r="I232" s="4"/>
      <c r="J232" s="4"/>
      <c r="K232" s="4"/>
      <c r="M232" s="1552" t="str">
        <f>H16</f>
        <v>APS Venice LP</v>
      </c>
      <c r="N232" s="1552"/>
      <c r="O232" s="1552"/>
      <c r="P232" s="1552"/>
      <c r="Q232" s="1552"/>
      <c r="R232" s="1552"/>
      <c r="S232" s="1552"/>
      <c r="T232" s="1552"/>
      <c r="U232" s="1552"/>
      <c r="V232" s="1552"/>
      <c r="W232" s="1552"/>
      <c r="X232" s="1552"/>
      <c r="Y232" s="1552"/>
      <c r="Z232" s="1552"/>
      <c r="AA232" s="1552"/>
      <c r="AB232" s="1552"/>
      <c r="AC232" s="1552"/>
      <c r="AD232" s="1552"/>
      <c r="AE232" s="1552"/>
      <c r="AF232" s="1552"/>
      <c r="AG232" s="1552"/>
      <c r="AH232" s="1552"/>
      <c r="AI232" s="1552"/>
      <c r="AJ232" s="1552"/>
      <c r="AK232" s="1552"/>
      <c r="AZ232" s="4"/>
      <c r="BA232" s="3"/>
      <c r="BB232" s="206" t="s">
        <v>538</v>
      </c>
      <c r="BG232" s="242">
        <f>IF(AND(AND($M$249="nonprofit",$M$257="nonprofit",$M$265="for profit")),2,0)</f>
        <v>0</v>
      </c>
    </row>
    <row r="233" spans="1:59" ht="13.05" customHeight="1">
      <c r="D233" s="4" t="s">
        <v>85</v>
      </c>
      <c r="E233" s="4"/>
      <c r="F233" s="4"/>
      <c r="G233" s="4"/>
      <c r="H233" s="4"/>
      <c r="I233" s="4"/>
      <c r="J233" s="4"/>
      <c r="K233" s="4"/>
      <c r="M233" s="1519" t="s">
        <v>2620</v>
      </c>
      <c r="N233" s="1519"/>
      <c r="O233" s="1519"/>
      <c r="P233" s="1519"/>
      <c r="Q233" s="1519"/>
      <c r="R233" s="1519"/>
      <c r="S233" s="1519"/>
      <c r="T233" s="1519"/>
      <c r="U233" s="1519"/>
      <c r="V233" s="1519"/>
      <c r="W233" s="1519"/>
      <c r="X233" s="1519"/>
      <c r="Y233" s="1519"/>
      <c r="Z233" s="1519"/>
      <c r="AA233" s="1519"/>
      <c r="AB233" s="1519"/>
      <c r="AC233" s="1519"/>
      <c r="AD233" s="1519"/>
      <c r="AE233" s="1519"/>
      <c r="BB233" s="206" t="s">
        <v>538</v>
      </c>
      <c r="BG233" s="242">
        <f>IF(AND(AND($M$249="nonprofit",$M$257="for profit",$M$265="nonprofit")),2,0)</f>
        <v>0</v>
      </c>
    </row>
    <row r="234" spans="1:59" ht="13.05" customHeight="1">
      <c r="D234" s="4" t="s">
        <v>580</v>
      </c>
      <c r="E234" s="4"/>
      <c r="M234" s="1519" t="s">
        <v>2621</v>
      </c>
      <c r="N234" s="1519"/>
      <c r="O234" s="1519"/>
      <c r="P234" s="1519"/>
      <c r="Q234" s="1519"/>
      <c r="R234" s="1519"/>
      <c r="S234" s="1519"/>
      <c r="T234" s="1519"/>
      <c r="V234" s="33" t="s">
        <v>86</v>
      </c>
      <c r="W234" s="1470" t="s">
        <v>2622</v>
      </c>
      <c r="X234" s="1470"/>
      <c r="Y234" s="4" t="s">
        <v>583</v>
      </c>
      <c r="AC234" s="1519">
        <v>91010</v>
      </c>
      <c r="AD234" s="1519"/>
      <c r="AE234" s="1519"/>
      <c r="AU234" s="4"/>
      <c r="AV234" s="4"/>
      <c r="AW234" s="4"/>
      <c r="AX234" s="4"/>
      <c r="AY234" s="4"/>
      <c r="AZ234" s="4"/>
      <c r="BB234" s="206" t="s">
        <v>538</v>
      </c>
      <c r="BG234" s="241">
        <f>IF(AND(AND($M$249="for profit",$M$257="nonprofit",$M$265="nonprofit")),2,0)</f>
        <v>0</v>
      </c>
    </row>
    <row r="235" spans="1:59" ht="13.05" customHeight="1">
      <c r="D235" s="4" t="s">
        <v>87</v>
      </c>
      <c r="E235" s="4"/>
      <c r="F235" s="4"/>
      <c r="G235" s="4"/>
      <c r="H235" s="4"/>
      <c r="I235" s="4"/>
      <c r="J235" s="4"/>
      <c r="K235" s="19"/>
      <c r="M235" s="1519" t="s">
        <v>2623</v>
      </c>
      <c r="N235" s="1519"/>
      <c r="O235" s="1519"/>
      <c r="P235" s="1519"/>
      <c r="Q235" s="1519"/>
      <c r="R235" s="1519"/>
      <c r="S235" s="1519"/>
      <c r="T235" s="1519"/>
      <c r="U235" s="1519"/>
      <c r="V235" s="1519"/>
      <c r="W235" s="1519"/>
      <c r="X235" s="1519"/>
      <c r="Y235" s="1519"/>
      <c r="Z235" s="1519"/>
      <c r="AA235" s="1519"/>
      <c r="AB235" s="1519"/>
      <c r="AC235" s="1519"/>
      <c r="AD235" s="1519"/>
      <c r="AE235" s="1519"/>
      <c r="AI235" s="4"/>
      <c r="AJ235" s="4"/>
      <c r="AK235" s="4"/>
      <c r="AL235" s="4"/>
      <c r="AM235" s="4"/>
      <c r="AN235" s="4"/>
      <c r="AO235" s="4"/>
      <c r="AP235" s="4"/>
      <c r="AQ235" s="4"/>
      <c r="AR235" s="4"/>
      <c r="AS235" s="4"/>
      <c r="AT235" s="4"/>
      <c r="BB235" s="206"/>
      <c r="BG235" s="205"/>
    </row>
    <row r="236" spans="1:59" ht="13.05" customHeight="1">
      <c r="D236" s="4" t="s">
        <v>88</v>
      </c>
      <c r="E236" s="4"/>
      <c r="F236" s="4"/>
      <c r="M236" s="1486" t="s">
        <v>2624</v>
      </c>
      <c r="N236" s="1486"/>
      <c r="O236" s="1486"/>
      <c r="P236" s="1486"/>
      <c r="Q236" s="1486"/>
      <c r="R236" s="1486"/>
      <c r="S236" s="4" t="s">
        <v>205</v>
      </c>
      <c r="T236" s="4"/>
      <c r="U236" s="1470"/>
      <c r="V236" s="1470"/>
      <c r="W236" s="1470"/>
      <c r="X236" s="4" t="s">
        <v>89</v>
      </c>
      <c r="Z236" s="1486"/>
      <c r="AA236" s="1486"/>
      <c r="AB236" s="1486"/>
      <c r="AC236" s="1486"/>
      <c r="AD236" s="1486"/>
      <c r="AE236" s="1486"/>
      <c r="AU236" s="4"/>
      <c r="AV236" s="4"/>
      <c r="AW236" s="4"/>
      <c r="AX236" s="4"/>
      <c r="AY236" s="4"/>
      <c r="AZ236" s="4"/>
      <c r="BB236" s="205" t="s">
        <v>537</v>
      </c>
      <c r="BG236" s="242">
        <f>IF(AND(AND($M$249="nonprofit",$M$257="nonprofit",$M$265="(select one)")),1,0)</f>
        <v>0</v>
      </c>
    </row>
    <row r="237" spans="1:59" ht="13.05" customHeight="1">
      <c r="D237" s="4" t="s">
        <v>90</v>
      </c>
      <c r="E237" s="4"/>
      <c r="F237" s="4"/>
      <c r="M237" s="1536" t="s">
        <v>2625</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05" customHeight="1">
      <c r="A238" s="2" t="s">
        <v>586</v>
      </c>
      <c r="C238" s="2" t="s">
        <v>525</v>
      </c>
      <c r="M238" s="1370" t="s">
        <v>528</v>
      </c>
      <c r="N238" s="1370"/>
      <c r="O238" s="1370"/>
      <c r="P238" s="1370"/>
      <c r="Q238" s="1370"/>
      <c r="R238" s="1370"/>
      <c r="S238" s="1370"/>
      <c r="T238" s="1370"/>
      <c r="U238" s="205" t="s">
        <v>906</v>
      </c>
      <c r="V238" s="205"/>
      <c r="W238" s="205"/>
      <c r="X238" s="205"/>
      <c r="Y238" s="205"/>
      <c r="Z238" s="205"/>
      <c r="AA238" s="1556" t="s">
        <v>2626</v>
      </c>
      <c r="AB238" s="1556"/>
      <c r="AC238" s="1556"/>
      <c r="AD238" s="1556"/>
      <c r="AE238" s="1556"/>
      <c r="AF238" s="1556"/>
      <c r="AG238" s="1556"/>
      <c r="AH238" s="1556"/>
      <c r="AI238" s="1556"/>
      <c r="AJ238" s="1556"/>
      <c r="AK238" s="1556"/>
      <c r="AL238" s="3"/>
      <c r="AM238" s="3"/>
      <c r="AN238" s="3"/>
      <c r="AO238" s="3"/>
      <c r="AP238" s="3"/>
      <c r="AQ238" s="3"/>
      <c r="AR238" s="3"/>
      <c r="AS238" s="3"/>
      <c r="AT238" s="3"/>
      <c r="AU238" s="3"/>
      <c r="AV238" s="3"/>
      <c r="AW238" s="3"/>
      <c r="AX238" s="3"/>
      <c r="AY238" s="3"/>
      <c r="BB238" s="205" t="s">
        <v>537</v>
      </c>
      <c r="BG238" s="242">
        <f>IF(AND(AND($M$249="nonprofit",$M$257="(select one)",$M$265="(select one)")),1,0)</f>
        <v>1</v>
      </c>
    </row>
    <row r="239" spans="1:59" ht="13.05" customHeight="1">
      <c r="D239" t="s">
        <v>531</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05" customHeight="1">
      <c r="D240" s="4"/>
      <c r="BB240" s="205" t="s">
        <v>877</v>
      </c>
      <c r="BG240" s="242">
        <f>IF(AND(AND($M$249="for profit",$M$257="for profit",$M$265="for profit")),3,0)</f>
        <v>0</v>
      </c>
    </row>
    <row r="241" spans="1:67" ht="13.0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538" t="s">
        <v>2627</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2628</v>
      </c>
      <c r="AG243" s="1538"/>
      <c r="AH243" s="1538"/>
      <c r="AI243" s="1538"/>
      <c r="AJ243" s="1538"/>
      <c r="AK243" s="1538"/>
      <c r="AU243" s="4"/>
      <c r="AV243" s="4"/>
      <c r="AW243" s="4"/>
      <c r="AX243" s="4"/>
      <c r="AY243" s="4"/>
      <c r="BG243">
        <f>SUM(BG226:BG241)</f>
        <v>1</v>
      </c>
    </row>
    <row r="244" spans="1:67" ht="13.05" customHeight="1">
      <c r="A244" s="19"/>
      <c r="B244" s="4"/>
      <c r="C244" s="4"/>
      <c r="D244" s="4" t="s">
        <v>85</v>
      </c>
      <c r="E244" s="4"/>
      <c r="F244" s="4"/>
      <c r="G244" s="4"/>
      <c r="H244" s="4"/>
      <c r="I244" s="4"/>
      <c r="J244" s="4"/>
      <c r="K244" s="4"/>
      <c r="L244" s="4"/>
      <c r="M244" s="1519" t="s">
        <v>2620</v>
      </c>
      <c r="N244" s="1519"/>
      <c r="O244" s="1519"/>
      <c r="P244" s="1519"/>
      <c r="Q244" s="1519"/>
      <c r="R244" s="1519"/>
      <c r="S244" s="1519"/>
      <c r="T244" s="1519"/>
      <c r="U244" s="1519"/>
      <c r="V244" s="1519"/>
      <c r="W244" s="1519"/>
      <c r="X244" s="1519"/>
      <c r="Y244" s="1519"/>
      <c r="Z244" s="1519"/>
      <c r="AA244" s="1519"/>
      <c r="AB244" s="1519"/>
      <c r="AC244" s="1519"/>
      <c r="AD244" s="1519"/>
      <c r="AE244" s="1519"/>
      <c r="AF244" s="3" t="s">
        <v>1179</v>
      </c>
      <c r="AL244" s="4"/>
      <c r="AM244" s="4"/>
      <c r="AN244" s="4"/>
      <c r="AO244" s="4"/>
      <c r="AP244" s="4"/>
      <c r="AQ244" s="4"/>
      <c r="AR244" s="4"/>
      <c r="AS244" s="4"/>
      <c r="AT244" s="4"/>
      <c r="BB244" t="s">
        <v>306</v>
      </c>
      <c r="BG244">
        <v>1</v>
      </c>
      <c r="BH244" t="s">
        <v>534</v>
      </c>
    </row>
    <row r="245" spans="1:67" ht="13.05" customHeight="1">
      <c r="A245" s="19"/>
      <c r="B245" s="4"/>
      <c r="C245" s="4"/>
      <c r="D245" s="4" t="s">
        <v>580</v>
      </c>
      <c r="E245" s="4"/>
      <c r="M245" s="1519" t="s">
        <v>2621</v>
      </c>
      <c r="N245" s="1519"/>
      <c r="O245" s="1519"/>
      <c r="P245" s="1519"/>
      <c r="Q245" s="1519"/>
      <c r="R245" s="1519"/>
      <c r="S245" s="1519"/>
      <c r="T245" s="1519"/>
      <c r="V245" s="33" t="s">
        <v>86</v>
      </c>
      <c r="W245" s="1470" t="s">
        <v>2622</v>
      </c>
      <c r="X245" s="1470"/>
      <c r="Y245" s="4" t="s">
        <v>583</v>
      </c>
      <c r="AC245" s="1519">
        <v>91010</v>
      </c>
      <c r="AD245" s="1519"/>
      <c r="AE245" s="1519"/>
      <c r="AF245" s="3" t="s">
        <v>1180</v>
      </c>
      <c r="AU245" s="4"/>
      <c r="AV245" s="4"/>
      <c r="AW245" s="4"/>
      <c r="AX245" s="4"/>
      <c r="AY245" s="4"/>
      <c r="BB245" s="4" t="s">
        <v>279</v>
      </c>
      <c r="BG245">
        <v>2</v>
      </c>
      <c r="BH245" t="s">
        <v>566</v>
      </c>
      <c r="BO245" s="240" t="str">
        <f>VLOOKUP(BG243,BG244:BH247,2,FALSE)</f>
        <v>Nonprofit</v>
      </c>
    </row>
    <row r="246" spans="1:67" ht="13.05" customHeight="1">
      <c r="A246" s="19"/>
      <c r="B246" s="4"/>
      <c r="C246" s="4"/>
      <c r="D246" s="4" t="s">
        <v>87</v>
      </c>
      <c r="E246" s="4"/>
      <c r="F246" s="4"/>
      <c r="G246" s="4"/>
      <c r="H246" s="4"/>
      <c r="I246" s="4"/>
      <c r="J246" s="4"/>
      <c r="K246" s="4"/>
      <c r="L246" s="19"/>
      <c r="M246" s="1519" t="s">
        <v>2629</v>
      </c>
      <c r="N246" s="1519"/>
      <c r="O246" s="1519"/>
      <c r="P246" s="1519"/>
      <c r="Q246" s="1519"/>
      <c r="R246" s="1519"/>
      <c r="S246" s="1519"/>
      <c r="T246" s="1519"/>
      <c r="U246" s="1519"/>
      <c r="V246" s="1519"/>
      <c r="W246" s="1519"/>
      <c r="X246" s="1519"/>
      <c r="Y246" s="1519"/>
      <c r="Z246" s="1519"/>
      <c r="AA246" s="1519"/>
      <c r="AB246" s="1519"/>
      <c r="AC246" s="1519"/>
      <c r="AD246" s="1519"/>
      <c r="AE246" s="1519"/>
      <c r="AH246" s="1535">
        <v>100</v>
      </c>
      <c r="AI246" s="1535"/>
      <c r="AJ246" s="1535"/>
      <c r="AK246" s="1535"/>
      <c r="AL246" s="4"/>
      <c r="AM246" s="4"/>
      <c r="AN246" s="4"/>
      <c r="AO246" s="4"/>
      <c r="AP246" s="4"/>
      <c r="AQ246" s="4"/>
      <c r="AR246" s="4"/>
      <c r="AS246" s="4"/>
      <c r="AT246" s="4"/>
      <c r="BB246" s="4" t="s">
        <v>172</v>
      </c>
      <c r="BG246">
        <v>3</v>
      </c>
      <c r="BH246" t="s">
        <v>536</v>
      </c>
      <c r="BN246" s="34"/>
    </row>
    <row r="247" spans="1:67" ht="13.05" customHeight="1">
      <c r="A247" s="19"/>
      <c r="B247" s="4"/>
      <c r="C247" s="4"/>
      <c r="D247" s="4" t="s">
        <v>88</v>
      </c>
      <c r="E247" s="4"/>
      <c r="F247" s="4"/>
      <c r="M247" s="1486" t="s">
        <v>2630</v>
      </c>
      <c r="N247" s="1486"/>
      <c r="O247" s="1486"/>
      <c r="P247" s="1486"/>
      <c r="Q247" s="1486"/>
      <c r="R247" s="1486"/>
      <c r="S247" s="4" t="s">
        <v>205</v>
      </c>
      <c r="T247" s="4"/>
      <c r="U247" s="1470"/>
      <c r="V247" s="1470"/>
      <c r="W247" s="1470"/>
      <c r="X247" s="4" t="s">
        <v>89</v>
      </c>
      <c r="Z247" s="1486"/>
      <c r="AA247" s="1486"/>
      <c r="AB247" s="1486"/>
      <c r="AC247" s="1486"/>
      <c r="AD247" s="1486"/>
      <c r="AE247" s="1486"/>
      <c r="AU247" s="4"/>
      <c r="AV247" s="4"/>
      <c r="AW247" s="4"/>
      <c r="AX247" s="4"/>
      <c r="AY247" s="4"/>
      <c r="BG247">
        <v>0</v>
      </c>
      <c r="BH247" s="3" t="str">
        <f>""</f>
        <v/>
      </c>
      <c r="BN247" s="34"/>
    </row>
    <row r="248" spans="1:67" ht="13.05" customHeight="1">
      <c r="A248" s="19"/>
      <c r="B248" s="4"/>
      <c r="C248" s="4"/>
      <c r="D248" s="4" t="s">
        <v>90</v>
      </c>
      <c r="E248" s="4"/>
      <c r="F248" s="4"/>
      <c r="M248" s="1536" t="s">
        <v>2631</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370" t="s">
        <v>534</v>
      </c>
      <c r="N249" s="1370"/>
      <c r="O249" s="1370"/>
      <c r="P249" s="1370"/>
      <c r="Q249" s="1370"/>
      <c r="R249" s="1370"/>
      <c r="S249" s="1370"/>
      <c r="T249" s="1370"/>
      <c r="U249" s="205" t="s">
        <v>906</v>
      </c>
      <c r="V249" s="205"/>
      <c r="W249" s="205"/>
      <c r="X249" s="205"/>
      <c r="Y249" s="205"/>
      <c r="Z249" s="205"/>
      <c r="AA249" s="1556" t="s">
        <v>2626</v>
      </c>
      <c r="AB249" s="1556"/>
      <c r="AC249" s="1556"/>
      <c r="AD249" s="1556"/>
      <c r="AE249" s="1556"/>
      <c r="AF249" s="1556"/>
      <c r="AG249" s="1556"/>
      <c r="AH249" s="1556"/>
      <c r="AI249" s="1556"/>
      <c r="AJ249" s="1556"/>
      <c r="AK249" s="1556"/>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538"/>
      <c r="N251" s="1538"/>
      <c r="O251" s="1538"/>
      <c r="P251" s="1538"/>
      <c r="Q251" s="1538"/>
      <c r="R251" s="1538"/>
      <c r="S251" s="1538"/>
      <c r="T251" s="1538"/>
      <c r="U251" s="1538"/>
      <c r="V251" s="1538"/>
      <c r="W251" s="1538"/>
      <c r="X251" s="1538"/>
      <c r="Y251" s="1538"/>
      <c r="Z251" s="1538"/>
      <c r="AA251" s="1538"/>
      <c r="AB251" s="1538"/>
      <c r="AC251" s="1538"/>
      <c r="AD251" s="1538"/>
      <c r="AE251" s="1538"/>
      <c r="AF251" s="1538" t="s">
        <v>306</v>
      </c>
      <c r="AG251" s="1538"/>
      <c r="AH251" s="1538"/>
      <c r="AI251" s="1538"/>
      <c r="AJ251" s="1538"/>
      <c r="AK251" s="1538"/>
      <c r="AU251" s="4"/>
      <c r="AV251" s="4"/>
      <c r="AW251" s="4"/>
      <c r="AX251" s="4"/>
      <c r="AY251" s="4"/>
      <c r="BN251" s="34"/>
    </row>
    <row r="252" spans="1:67" ht="13.05" customHeight="1">
      <c r="A252" s="19"/>
      <c r="B252" s="4"/>
      <c r="C252" s="4"/>
      <c r="D252" s="4" t="s">
        <v>85</v>
      </c>
      <c r="E252" s="4"/>
      <c r="F252" s="4"/>
      <c r="G252" s="4"/>
      <c r="H252" s="4"/>
      <c r="I252" s="4"/>
      <c r="J252" s="4"/>
      <c r="K252" s="4"/>
      <c r="L252" s="4"/>
      <c r="M252" s="1519"/>
      <c r="N252" s="1519"/>
      <c r="O252" s="1519"/>
      <c r="P252" s="1519"/>
      <c r="Q252" s="1519"/>
      <c r="R252" s="1519"/>
      <c r="S252" s="1519"/>
      <c r="T252" s="1519"/>
      <c r="U252" s="1519"/>
      <c r="V252" s="1519"/>
      <c r="W252" s="1519"/>
      <c r="X252" s="1519"/>
      <c r="Y252" s="1519"/>
      <c r="Z252" s="1519"/>
      <c r="AA252" s="1519"/>
      <c r="AB252" s="1519"/>
      <c r="AC252" s="1519"/>
      <c r="AD252" s="1519"/>
      <c r="AE252" s="1519"/>
      <c r="AF252" s="3" t="s">
        <v>1179</v>
      </c>
      <c r="AL252" s="4"/>
      <c r="AM252" s="4"/>
      <c r="AN252" s="4"/>
      <c r="AO252" s="4"/>
      <c r="AP252" s="4"/>
      <c r="AQ252" s="4"/>
      <c r="AR252" s="4"/>
      <c r="AS252" s="4"/>
      <c r="AT252" s="4"/>
      <c r="BN252" s="34"/>
    </row>
    <row r="253" spans="1:67" ht="13.05" customHeight="1">
      <c r="A253" s="19"/>
      <c r="B253" s="4"/>
      <c r="C253" s="4"/>
      <c r="D253" s="4" t="s">
        <v>580</v>
      </c>
      <c r="E253" s="4"/>
      <c r="M253" s="1519"/>
      <c r="N253" s="1519"/>
      <c r="O253" s="1519"/>
      <c r="P253" s="1519"/>
      <c r="Q253" s="1519"/>
      <c r="R253" s="1519"/>
      <c r="S253" s="1519"/>
      <c r="T253" s="1519"/>
      <c r="V253" s="33" t="s">
        <v>86</v>
      </c>
      <c r="W253" s="1470"/>
      <c r="X253" s="1470"/>
      <c r="Y253" s="4" t="s">
        <v>583</v>
      </c>
      <c r="AC253" s="1519"/>
      <c r="AD253" s="1519"/>
      <c r="AE253" s="1519"/>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519"/>
      <c r="N254" s="1519"/>
      <c r="O254" s="1519"/>
      <c r="P254" s="1519"/>
      <c r="Q254" s="1519"/>
      <c r="R254" s="1519"/>
      <c r="S254" s="1519"/>
      <c r="T254" s="1519"/>
      <c r="U254" s="1519"/>
      <c r="V254" s="1519"/>
      <c r="W254" s="1519"/>
      <c r="X254" s="1519"/>
      <c r="Y254" s="1519"/>
      <c r="Z254" s="1519"/>
      <c r="AA254" s="1519"/>
      <c r="AB254" s="1519"/>
      <c r="AC254" s="1519"/>
      <c r="AD254" s="1519"/>
      <c r="AE254" s="1519"/>
      <c r="AH254" s="1535"/>
      <c r="AI254" s="1535"/>
      <c r="AJ254" s="1535"/>
      <c r="AK254" s="1535"/>
      <c r="AL254" s="4"/>
      <c r="AM254" s="4"/>
      <c r="AN254" s="4"/>
      <c r="AO254" s="4"/>
      <c r="AP254" s="4"/>
      <c r="AQ254" s="4"/>
      <c r="AR254" s="4"/>
      <c r="AS254" s="4"/>
      <c r="AT254" s="4"/>
    </row>
    <row r="255" spans="1:67" ht="13.05" customHeight="1">
      <c r="A255" s="19"/>
      <c r="B255" s="4"/>
      <c r="C255" s="4"/>
      <c r="D255" s="4" t="s">
        <v>88</v>
      </c>
      <c r="E255" s="4"/>
      <c r="F255" s="4"/>
      <c r="M255" s="1486"/>
      <c r="N255" s="1486"/>
      <c r="O255" s="1486"/>
      <c r="P255" s="1486"/>
      <c r="Q255" s="1486"/>
      <c r="R255" s="1486"/>
      <c r="S255" s="4" t="s">
        <v>205</v>
      </c>
      <c r="T255" s="4"/>
      <c r="U255" s="1470"/>
      <c r="V255" s="1470"/>
      <c r="W255" s="1470"/>
      <c r="X255" s="4" t="s">
        <v>89</v>
      </c>
      <c r="Z255" s="1486"/>
      <c r="AA255" s="1486"/>
      <c r="AB255" s="1486"/>
      <c r="AC255" s="1486"/>
      <c r="AD255" s="1486"/>
      <c r="AE255" s="1486"/>
      <c r="AU255" s="4"/>
      <c r="AV255" s="4"/>
      <c r="AW255" s="4"/>
      <c r="AX255" s="4"/>
      <c r="AY255" s="4"/>
      <c r="BN255" s="34"/>
    </row>
    <row r="256" spans="1:67" ht="13.05" customHeight="1">
      <c r="A256" s="19"/>
      <c r="B256" s="4"/>
      <c r="C256" s="4"/>
      <c r="D256" s="4" t="s">
        <v>90</v>
      </c>
      <c r="E256" s="4"/>
      <c r="F256" s="4"/>
      <c r="M256" s="1536"/>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370" t="s">
        <v>306</v>
      </c>
      <c r="N257" s="1370"/>
      <c r="O257" s="1370"/>
      <c r="P257" s="1370"/>
      <c r="Q257" s="1370"/>
      <c r="R257" s="1370"/>
      <c r="S257" s="1370"/>
      <c r="T257" s="1370"/>
      <c r="U257" s="205" t="s">
        <v>906</v>
      </c>
      <c r="V257" s="205"/>
      <c r="W257" s="205"/>
      <c r="X257" s="205"/>
      <c r="Y257" s="205"/>
      <c r="Z257" s="205"/>
      <c r="AA257" s="1556"/>
      <c r="AB257" s="1556"/>
      <c r="AC257" s="1556"/>
      <c r="AD257" s="1556"/>
      <c r="AE257" s="1556"/>
      <c r="AF257" s="1556"/>
      <c r="AG257" s="1556"/>
      <c r="AH257" s="1556"/>
      <c r="AI257" s="1556"/>
      <c r="AJ257" s="1556"/>
      <c r="AK257" s="1556"/>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t="s">
        <v>306</v>
      </c>
      <c r="AG259" s="1538"/>
      <c r="AH259" s="1538"/>
      <c r="AI259" s="1538"/>
      <c r="AJ259" s="1538"/>
      <c r="AK259" s="1538"/>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519"/>
      <c r="N260" s="1519"/>
      <c r="O260" s="1519"/>
      <c r="P260" s="1519"/>
      <c r="Q260" s="1519"/>
      <c r="R260" s="1519"/>
      <c r="S260" s="1519"/>
      <c r="T260" s="1519"/>
      <c r="U260" s="1519"/>
      <c r="V260" s="1519"/>
      <c r="W260" s="1519"/>
      <c r="X260" s="1519"/>
      <c r="Y260" s="1519"/>
      <c r="Z260" s="1519"/>
      <c r="AA260" s="1519"/>
      <c r="AB260" s="1519"/>
      <c r="AC260" s="1519"/>
      <c r="AD260" s="1519"/>
      <c r="AE260" s="1519"/>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519"/>
      <c r="N261" s="1519"/>
      <c r="O261" s="1519"/>
      <c r="P261" s="1519"/>
      <c r="Q261" s="1519"/>
      <c r="R261" s="1519"/>
      <c r="S261" s="1519"/>
      <c r="T261" s="1519"/>
      <c r="V261" s="33" t="s">
        <v>86</v>
      </c>
      <c r="W261" s="1470"/>
      <c r="X261" s="1470"/>
      <c r="Y261" s="4" t="s">
        <v>583</v>
      </c>
      <c r="AC261" s="1519"/>
      <c r="AD261" s="1519"/>
      <c r="AE261" s="1519"/>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519"/>
      <c r="N262" s="1519"/>
      <c r="O262" s="1519"/>
      <c r="P262" s="1519"/>
      <c r="Q262" s="1519"/>
      <c r="R262" s="1519"/>
      <c r="S262" s="1519"/>
      <c r="T262" s="1519"/>
      <c r="U262" s="1519"/>
      <c r="V262" s="1519"/>
      <c r="W262" s="1519"/>
      <c r="X262" s="1519"/>
      <c r="Y262" s="1519"/>
      <c r="Z262" s="1519"/>
      <c r="AA262" s="1519"/>
      <c r="AB262" s="1519"/>
      <c r="AC262" s="1519"/>
      <c r="AD262" s="1519"/>
      <c r="AE262" s="1519"/>
      <c r="AH262" s="1535"/>
      <c r="AI262" s="1535"/>
      <c r="AJ262" s="1535"/>
      <c r="AK262" s="1535"/>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486"/>
      <c r="N263" s="1486"/>
      <c r="O263" s="1486"/>
      <c r="P263" s="1486"/>
      <c r="Q263" s="1486"/>
      <c r="R263" s="1486"/>
      <c r="S263" s="4" t="s">
        <v>205</v>
      </c>
      <c r="T263" s="4"/>
      <c r="U263" s="1470"/>
      <c r="V263" s="1470"/>
      <c r="W263" s="1470"/>
      <c r="X263" s="4" t="s">
        <v>89</v>
      </c>
      <c r="Z263" s="1486"/>
      <c r="AA263" s="1486"/>
      <c r="AB263" s="1486"/>
      <c r="AC263" s="1486"/>
      <c r="AD263" s="1486"/>
      <c r="AE263" s="1486"/>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370" t="s">
        <v>306</v>
      </c>
      <c r="N265" s="1370"/>
      <c r="O265" s="1370"/>
      <c r="P265" s="1370"/>
      <c r="Q265" s="1370"/>
      <c r="R265" s="1370"/>
      <c r="S265" s="1370"/>
      <c r="T265" s="1370"/>
      <c r="U265" s="205" t="s">
        <v>906</v>
      </c>
      <c r="V265" s="205"/>
      <c r="W265" s="205"/>
      <c r="X265" s="205"/>
      <c r="Y265" s="205"/>
      <c r="Z265" s="205"/>
      <c r="AA265" s="1569"/>
      <c r="AB265" s="1569"/>
      <c r="AC265" s="1569"/>
      <c r="AD265" s="1569"/>
      <c r="AE265" s="1569"/>
      <c r="AF265" s="1569"/>
      <c r="AG265" s="1569"/>
      <c r="AH265" s="1569"/>
      <c r="AI265" s="1569"/>
      <c r="AJ265" s="1569"/>
      <c r="AK265" s="1569"/>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294</v>
      </c>
      <c r="D267" s="4"/>
      <c r="E267" s="4"/>
      <c r="F267" s="4"/>
      <c r="G267" s="4"/>
      <c r="H267" s="4"/>
      <c r="I267" s="4"/>
      <c r="J267" s="4"/>
      <c r="K267" s="4"/>
      <c r="L267" s="4"/>
      <c r="M267" s="35"/>
      <c r="N267" s="35"/>
      <c r="O267" s="35"/>
      <c r="P267" s="35"/>
      <c r="Q267" s="35"/>
      <c r="T267" s="1562" t="str">
        <f>IFERROR(BO245,"")</f>
        <v>Nonprofit</v>
      </c>
      <c r="U267" s="1562"/>
      <c r="V267" s="1562"/>
      <c r="W267" s="1562"/>
      <c r="X267" s="1562"/>
      <c r="Z267" s="308" t="s">
        <v>954</v>
      </c>
      <c r="AA267" s="309"/>
      <c r="AB267" s="309"/>
      <c r="AC267" s="309"/>
      <c r="AD267" s="105"/>
      <c r="AE267" s="105"/>
      <c r="AF267" s="105"/>
      <c r="AG267" s="105"/>
      <c r="AH267" s="105"/>
      <c r="AI267" s="105"/>
      <c r="AJ267" s="105"/>
      <c r="AK267" s="310"/>
      <c r="AL267" s="58"/>
    </row>
    <row r="268" spans="1:51" ht="13.0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0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05" customHeight="1">
      <c r="A270" s="4"/>
      <c r="B270" s="36">
        <v>0</v>
      </c>
      <c r="D270" s="1519" t="s">
        <v>279</v>
      </c>
      <c r="E270" s="1519"/>
      <c r="F270" s="1519"/>
      <c r="G270" s="1519"/>
      <c r="H270" s="1519"/>
      <c r="J270" t="s">
        <v>278</v>
      </c>
      <c r="X270" s="1496">
        <v>45517</v>
      </c>
      <c r="Y270" s="1496"/>
      <c r="Z270" s="1496"/>
      <c r="AA270" s="1496"/>
      <c r="AB270" s="1496"/>
      <c r="AC270" s="1496"/>
      <c r="AU270" s="3"/>
      <c r="AV270" s="3"/>
      <c r="AW270" s="3"/>
      <c r="AX270" s="3"/>
      <c r="AY270" s="3"/>
    </row>
    <row r="271" spans="1:51" ht="13.0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295</v>
      </c>
      <c r="E274" s="4"/>
      <c r="F274" s="4"/>
      <c r="G274" s="4"/>
      <c r="H274" s="4"/>
      <c r="I274" s="4"/>
      <c r="J274" s="4"/>
      <c r="K274" s="4"/>
      <c r="L274" s="1538" t="s">
        <v>2626</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519" t="s">
        <v>2620</v>
      </c>
      <c r="M275" s="1519"/>
      <c r="N275" s="1519"/>
      <c r="O275" s="1519"/>
      <c r="P275" s="1519"/>
      <c r="Q275" s="1519"/>
      <c r="R275" s="1519"/>
      <c r="S275" s="1519"/>
      <c r="T275" s="1519"/>
      <c r="U275" s="1519"/>
      <c r="V275" s="1519"/>
      <c r="W275" s="1519"/>
      <c r="X275" s="1519"/>
      <c r="Y275" s="1519"/>
      <c r="Z275" s="1519"/>
      <c r="AA275" s="1519"/>
      <c r="AB275" s="1519"/>
      <c r="AC275" s="1519"/>
      <c r="AD275" s="1519"/>
      <c r="AK275" s="3"/>
      <c r="AL275" s="3"/>
      <c r="AM275" s="3"/>
      <c r="AN275" s="3"/>
      <c r="AO275" s="3"/>
      <c r="AP275" s="3"/>
      <c r="AQ275" s="3"/>
      <c r="AR275" s="3"/>
      <c r="AS275" s="3"/>
      <c r="AT275" s="3"/>
      <c r="AU275" s="3"/>
      <c r="AV275" s="3"/>
      <c r="AW275" s="3"/>
      <c r="AX275" s="3"/>
      <c r="AY275" s="3"/>
    </row>
    <row r="276" spans="1:51" ht="13.05" customHeight="1">
      <c r="D276" s="4" t="s">
        <v>580</v>
      </c>
      <c r="E276" s="4"/>
      <c r="L276" s="1519" t="s">
        <v>2621</v>
      </c>
      <c r="M276" s="1519"/>
      <c r="N276" s="1519"/>
      <c r="O276" s="1519"/>
      <c r="P276" s="1519"/>
      <c r="Q276" s="1519"/>
      <c r="R276" s="1519"/>
      <c r="S276" s="1519"/>
      <c r="U276" s="33" t="s">
        <v>86</v>
      </c>
      <c r="V276" s="1470" t="s">
        <v>2622</v>
      </c>
      <c r="W276" s="1470"/>
      <c r="X276" s="4" t="s">
        <v>583</v>
      </c>
      <c r="AB276" s="1519">
        <v>91010</v>
      </c>
      <c r="AC276" s="1519"/>
      <c r="AD276" s="1519"/>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519" t="s">
        <v>2632</v>
      </c>
      <c r="M277" s="1519"/>
      <c r="N277" s="1519"/>
      <c r="O277" s="1519"/>
      <c r="P277" s="1519"/>
      <c r="Q277" s="1519"/>
      <c r="R277" s="1519"/>
      <c r="S277" s="1519"/>
      <c r="T277" s="1519"/>
      <c r="U277" s="1519"/>
      <c r="V277" s="1519"/>
      <c r="W277" s="1519"/>
      <c r="X277" s="1519"/>
      <c r="Y277" s="1519"/>
      <c r="Z277" s="1519"/>
      <c r="AA277" s="1519"/>
      <c r="AB277" s="1519"/>
      <c r="AC277" s="1519"/>
      <c r="AD277" s="1519"/>
      <c r="AI277" s="4"/>
      <c r="AJ277" s="4"/>
      <c r="AK277" s="3"/>
      <c r="AL277" s="3"/>
      <c r="AM277" s="3"/>
      <c r="AN277" s="3"/>
      <c r="AO277" s="3"/>
      <c r="AP277" s="3"/>
      <c r="AQ277" s="3"/>
      <c r="AR277" s="3"/>
      <c r="AS277" s="3"/>
      <c r="AT277" s="3"/>
    </row>
    <row r="278" spans="1:51" ht="13.05" customHeight="1">
      <c r="D278" s="4" t="s">
        <v>88</v>
      </c>
      <c r="E278" s="4"/>
      <c r="F278" s="4"/>
      <c r="L278" s="1486" t="s">
        <v>2624</v>
      </c>
      <c r="M278" s="1486"/>
      <c r="N278" s="1486"/>
      <c r="O278" s="1486"/>
      <c r="P278" s="1486"/>
      <c r="Q278" s="1486"/>
      <c r="R278" s="4" t="s">
        <v>205</v>
      </c>
      <c r="S278" s="4"/>
      <c r="T278" s="1470"/>
      <c r="U278" s="1470"/>
      <c r="V278" s="1470"/>
      <c r="W278" s="4" t="s">
        <v>89</v>
      </c>
      <c r="Y278" s="1486"/>
      <c r="Z278" s="1486"/>
      <c r="AA278" s="1486"/>
      <c r="AB278" s="1486"/>
      <c r="AC278" s="1486"/>
      <c r="AD278" s="1486"/>
    </row>
    <row r="279" spans="1:51" ht="13.05" customHeight="1">
      <c r="D279" s="4" t="s">
        <v>90</v>
      </c>
      <c r="E279" s="4"/>
      <c r="F279" s="4"/>
      <c r="L279" s="1536" t="s">
        <v>2625</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row>
    <row r="280" spans="1:51" ht="13.05" customHeight="1">
      <c r="D280" s="3" t="s">
        <v>623</v>
      </c>
      <c r="E280" s="3"/>
      <c r="F280" s="3"/>
      <c r="G280" s="3"/>
      <c r="H280" s="3"/>
      <c r="I280" s="3"/>
      <c r="L280" s="1563" t="s">
        <v>2633</v>
      </c>
      <c r="M280" s="1563"/>
      <c r="N280" s="1563"/>
      <c r="O280" s="1563"/>
      <c r="P280" s="1563"/>
      <c r="Q280" s="1563"/>
      <c r="R280" s="1563"/>
      <c r="S280" s="1563"/>
      <c r="T280" s="1563"/>
      <c r="U280" s="1563"/>
      <c r="V280" s="1563"/>
      <c r="W280" s="1563"/>
      <c r="X280" s="1563"/>
      <c r="Y280" s="1563"/>
      <c r="Z280" s="1563"/>
      <c r="AA280" s="1563"/>
      <c r="AB280" s="1563"/>
      <c r="AC280" s="1563"/>
      <c r="AD280" s="1563"/>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531" t="s">
        <v>541</v>
      </c>
      <c r="B282" s="1531"/>
      <c r="C282" s="1531"/>
      <c r="D282" s="1531"/>
      <c r="E282" s="1531"/>
      <c r="F282" s="1531"/>
      <c r="G282" s="1531"/>
      <c r="H282" s="1531"/>
      <c r="I282" s="1531"/>
      <c r="J282" s="1531"/>
      <c r="K282" s="1531"/>
      <c r="L282" s="1531"/>
      <c r="M282" s="1531"/>
      <c r="N282" s="1531"/>
      <c r="O282" s="1531"/>
      <c r="P282" s="1531"/>
      <c r="Q282" s="1531"/>
      <c r="R282" s="1531"/>
      <c r="S282" s="1531"/>
      <c r="T282" s="1531"/>
      <c r="U282" s="1531"/>
      <c r="V282" s="1531"/>
      <c r="W282" s="1531"/>
      <c r="X282" s="1531"/>
      <c r="Y282" s="1531"/>
      <c r="Z282" s="1531"/>
      <c r="AA282" s="1531"/>
      <c r="AB282" s="1531"/>
      <c r="AC282" s="1531"/>
      <c r="AD282" s="1531"/>
      <c r="AE282" s="1531"/>
      <c r="AF282" s="1531"/>
      <c r="AG282" s="1531"/>
      <c r="AH282" s="1531"/>
      <c r="AI282" s="1531"/>
      <c r="AJ282" s="1531"/>
      <c r="AK282" s="1531"/>
      <c r="AL282" s="1531"/>
      <c r="AM282" s="1531"/>
      <c r="AN282" s="1531"/>
      <c r="AO282" s="1531"/>
      <c r="AP282" s="1531"/>
      <c r="AQ282" s="1531"/>
      <c r="AR282" s="1531"/>
      <c r="AS282" s="1531"/>
      <c r="AT282" s="1531"/>
      <c r="AU282" s="95"/>
      <c r="AV282" s="95"/>
      <c r="AW282" s="95"/>
      <c r="AX282" s="95"/>
      <c r="AY282" s="95"/>
    </row>
    <row r="283" spans="1:51" ht="13.05" customHeight="1">
      <c r="A283" s="1531"/>
      <c r="B283" s="1531"/>
      <c r="C283" s="1531"/>
      <c r="D283" s="1531"/>
      <c r="E283" s="1531"/>
      <c r="F283" s="1531"/>
      <c r="G283" s="1531"/>
      <c r="H283" s="1531"/>
      <c r="I283" s="1531"/>
      <c r="J283" s="1531"/>
      <c r="K283" s="1531"/>
      <c r="L283" s="1531"/>
      <c r="M283" s="1531"/>
      <c r="N283" s="1531"/>
      <c r="O283" s="1531"/>
      <c r="P283" s="1531"/>
      <c r="Q283" s="1531"/>
      <c r="R283" s="1531"/>
      <c r="S283" s="1531"/>
      <c r="T283" s="1531"/>
      <c r="U283" s="1531"/>
      <c r="V283" s="1531"/>
      <c r="W283" s="1531"/>
      <c r="X283" s="1531"/>
      <c r="Y283" s="1531"/>
      <c r="Z283" s="1531"/>
      <c r="AA283" s="1531"/>
      <c r="AB283" s="1531"/>
      <c r="AC283" s="1531"/>
      <c r="AD283" s="1531"/>
      <c r="AE283" s="1531"/>
      <c r="AF283" s="1531"/>
      <c r="AG283" s="1531"/>
      <c r="AH283" s="1531"/>
      <c r="AI283" s="1531"/>
      <c r="AJ283" s="1531"/>
      <c r="AK283" s="1531"/>
      <c r="AL283" s="1531"/>
      <c r="AM283" s="1531"/>
      <c r="AN283" s="1531"/>
      <c r="AO283" s="1531"/>
      <c r="AP283" s="1531"/>
      <c r="AQ283" s="1531"/>
      <c r="AR283" s="1531"/>
      <c r="AS283" s="1531"/>
      <c r="AT283" s="1531"/>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406" t="s">
        <v>2626</v>
      </c>
      <c r="I287" s="1406"/>
      <c r="J287" s="1406"/>
      <c r="K287" s="1406"/>
      <c r="L287" s="1406"/>
      <c r="M287" s="1406"/>
      <c r="N287" s="1406"/>
      <c r="O287" s="1406"/>
      <c r="P287" s="1406"/>
      <c r="Q287" s="1406"/>
      <c r="R287" s="1406"/>
      <c r="T287" s="3" t="s">
        <v>567</v>
      </c>
      <c r="V287" s="3"/>
      <c r="W287" s="3"/>
      <c r="X287" s="3"/>
      <c r="Y287" s="3"/>
      <c r="AA287" s="1406" t="s">
        <v>2634</v>
      </c>
      <c r="AB287" s="1406"/>
      <c r="AC287" s="1406"/>
      <c r="AD287" s="1406"/>
      <c r="AE287" s="1406"/>
      <c r="AF287" s="1406"/>
      <c r="AG287" s="1406"/>
      <c r="AH287" s="1406"/>
      <c r="AI287" s="1406"/>
      <c r="AJ287" s="1406"/>
      <c r="AK287" s="1406"/>
    </row>
    <row r="288" spans="1:51" ht="13.05" customHeight="1">
      <c r="B288" s="3" t="s">
        <v>471</v>
      </c>
      <c r="C288" s="3"/>
      <c r="D288" s="3"/>
      <c r="E288" s="3"/>
      <c r="F288" s="3"/>
      <c r="H288" s="1370" t="s">
        <v>2620</v>
      </c>
      <c r="I288" s="1370"/>
      <c r="J288" s="1370"/>
      <c r="K288" s="1370"/>
      <c r="L288" s="1370"/>
      <c r="M288" s="1370"/>
      <c r="N288" s="1370"/>
      <c r="O288" s="1370"/>
      <c r="P288" s="1370"/>
      <c r="Q288" s="1370"/>
      <c r="R288" s="1370"/>
      <c r="T288" s="3" t="s">
        <v>471</v>
      </c>
      <c r="V288" s="3"/>
      <c r="W288" s="3"/>
      <c r="X288" s="3"/>
      <c r="Y288" s="3"/>
      <c r="AA288" s="1370" t="s">
        <v>2635</v>
      </c>
      <c r="AB288" s="1370"/>
      <c r="AC288" s="1370"/>
      <c r="AD288" s="1370"/>
      <c r="AE288" s="1370"/>
      <c r="AF288" s="1370"/>
      <c r="AG288" s="1370"/>
      <c r="AH288" s="1370"/>
      <c r="AI288" s="1370"/>
      <c r="AJ288" s="1370"/>
      <c r="AK288" s="1370"/>
    </row>
    <row r="289" spans="2:37" ht="13.05" customHeight="1">
      <c r="B289" s="3" t="s">
        <v>472</v>
      </c>
      <c r="C289" s="3"/>
      <c r="D289" s="3"/>
      <c r="E289" s="3"/>
      <c r="F289" s="3"/>
      <c r="H289" s="1370" t="s">
        <v>2636</v>
      </c>
      <c r="I289" s="1370"/>
      <c r="J289" s="1370"/>
      <c r="K289" s="1370"/>
      <c r="L289" s="1370"/>
      <c r="M289" s="1370"/>
      <c r="N289" s="1370"/>
      <c r="O289" s="1370"/>
      <c r="P289" s="1370"/>
      <c r="Q289" s="1370"/>
      <c r="R289" s="1370"/>
      <c r="T289" s="3" t="s">
        <v>75</v>
      </c>
      <c r="V289" s="3"/>
      <c r="W289" s="3"/>
      <c r="X289" s="3"/>
      <c r="Y289" s="3"/>
      <c r="AA289" s="1370" t="s">
        <v>2637</v>
      </c>
      <c r="AB289" s="1370"/>
      <c r="AC289" s="1370"/>
      <c r="AD289" s="1370"/>
      <c r="AE289" s="1370"/>
      <c r="AF289" s="1370"/>
      <c r="AG289" s="1370"/>
      <c r="AH289" s="1370"/>
      <c r="AI289" s="1370"/>
      <c r="AJ289" s="1370"/>
      <c r="AK289" s="1370"/>
    </row>
    <row r="290" spans="2:37" ht="13.05" customHeight="1">
      <c r="B290" s="3" t="s">
        <v>87</v>
      </c>
      <c r="C290" s="3"/>
      <c r="D290" s="3"/>
      <c r="E290" s="3"/>
      <c r="F290" s="3"/>
      <c r="H290" s="1370" t="s">
        <v>2632</v>
      </c>
      <c r="I290" s="1370"/>
      <c r="J290" s="1370"/>
      <c r="K290" s="1370"/>
      <c r="L290" s="1370"/>
      <c r="M290" s="1370"/>
      <c r="N290" s="1370"/>
      <c r="O290" s="1370"/>
      <c r="P290" s="1370"/>
      <c r="Q290" s="1370"/>
      <c r="R290" s="1370"/>
      <c r="T290" s="3" t="s">
        <v>87</v>
      </c>
      <c r="V290" s="3"/>
      <c r="W290" s="3"/>
      <c r="X290" s="3"/>
      <c r="Y290" s="3"/>
      <c r="AA290" s="1370" t="s">
        <v>2638</v>
      </c>
      <c r="AB290" s="1370"/>
      <c r="AC290" s="1370"/>
      <c r="AD290" s="1370"/>
      <c r="AE290" s="1370"/>
      <c r="AF290" s="1370"/>
      <c r="AG290" s="1370"/>
      <c r="AH290" s="1370"/>
      <c r="AI290" s="1370"/>
      <c r="AJ290" s="1370"/>
      <c r="AK290" s="1370"/>
    </row>
    <row r="291" spans="2:37" ht="13.05" customHeight="1">
      <c r="B291" s="3" t="s">
        <v>88</v>
      </c>
      <c r="C291" s="3"/>
      <c r="D291" s="3"/>
      <c r="E291" s="3"/>
      <c r="F291" s="3"/>
      <c r="G291" s="3"/>
      <c r="H291" s="1539" t="s">
        <v>2624</v>
      </c>
      <c r="I291" s="1539"/>
      <c r="J291" s="1539"/>
      <c r="K291" s="1539"/>
      <c r="L291" s="1539"/>
      <c r="M291" s="1539"/>
      <c r="N291" s="4" t="s">
        <v>205</v>
      </c>
      <c r="O291" s="4"/>
      <c r="P291" s="1519"/>
      <c r="Q291" s="1519"/>
      <c r="R291" s="1519"/>
      <c r="S291" s="3"/>
      <c r="T291" s="3" t="s">
        <v>88</v>
      </c>
      <c r="V291" s="3"/>
      <c r="W291" s="3"/>
      <c r="X291" s="3"/>
      <c r="Y291" s="3"/>
      <c r="AA291" s="1539">
        <v>9493026296</v>
      </c>
      <c r="AB291" s="1539"/>
      <c r="AC291" s="1539"/>
      <c r="AD291" s="1539"/>
      <c r="AE291" s="1539"/>
      <c r="AF291" s="1539"/>
      <c r="AG291" s="4" t="s">
        <v>205</v>
      </c>
      <c r="AH291" s="4"/>
      <c r="AI291" s="1519"/>
      <c r="AJ291" s="1519"/>
      <c r="AK291" s="1519"/>
    </row>
    <row r="292" spans="2:37" ht="13.05" customHeight="1">
      <c r="B292" s="3" t="s">
        <v>89</v>
      </c>
      <c r="C292" s="3"/>
      <c r="D292" s="3"/>
      <c r="E292" s="3"/>
      <c r="F292" s="3"/>
      <c r="G292" s="3"/>
      <c r="H292" s="1486"/>
      <c r="I292" s="1486"/>
      <c r="J292" s="1486"/>
      <c r="K292" s="1486"/>
      <c r="L292" s="1486"/>
      <c r="M292" s="1486"/>
      <c r="N292" s="4"/>
      <c r="O292" s="4"/>
      <c r="P292" s="35"/>
      <c r="Q292" s="35"/>
      <c r="R292" s="35"/>
      <c r="S292" s="3"/>
      <c r="T292" s="3" t="s">
        <v>89</v>
      </c>
      <c r="V292" s="3"/>
      <c r="W292" s="3"/>
      <c r="X292" s="3"/>
      <c r="Y292" s="3"/>
      <c r="AA292" s="1486"/>
      <c r="AB292" s="1486"/>
      <c r="AC292" s="1486"/>
      <c r="AD292" s="1486"/>
      <c r="AE292" s="1486"/>
      <c r="AF292" s="1486"/>
      <c r="AG292" s="4"/>
      <c r="AH292" s="4"/>
      <c r="AI292" s="35"/>
      <c r="AJ292" s="35"/>
      <c r="AK292" s="35"/>
    </row>
    <row r="293" spans="2:37" ht="13.05" customHeight="1">
      <c r="B293" s="3" t="s">
        <v>76</v>
      </c>
      <c r="C293" s="3"/>
      <c r="D293" s="3"/>
      <c r="E293" s="3"/>
      <c r="F293" s="3"/>
      <c r="G293" s="3"/>
      <c r="H293" s="1370" t="s">
        <v>2625</v>
      </c>
      <c r="I293" s="1370"/>
      <c r="J293" s="1370"/>
      <c r="K293" s="1370"/>
      <c r="L293" s="1370"/>
      <c r="M293" s="1370"/>
      <c r="N293" s="1406"/>
      <c r="O293" s="1406"/>
      <c r="P293" s="1406"/>
      <c r="Q293" s="1406"/>
      <c r="R293" s="1406"/>
      <c r="S293" s="3"/>
      <c r="T293" s="3" t="s">
        <v>76</v>
      </c>
      <c r="V293" s="3"/>
      <c r="W293" s="3"/>
      <c r="X293" s="3"/>
      <c r="Y293" s="3"/>
      <c r="AA293" s="1370" t="s">
        <v>2639</v>
      </c>
      <c r="AB293" s="1370"/>
      <c r="AC293" s="1370"/>
      <c r="AD293" s="1370"/>
      <c r="AE293" s="1370"/>
      <c r="AF293" s="1370"/>
      <c r="AG293" s="1406"/>
      <c r="AH293" s="1406"/>
      <c r="AI293" s="1406"/>
      <c r="AJ293" s="1406"/>
      <c r="AK293" s="1406"/>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322</v>
      </c>
      <c r="C295" s="3"/>
      <c r="D295" s="3"/>
      <c r="E295" s="3"/>
      <c r="F295" s="3"/>
      <c r="H295" s="1406" t="s">
        <v>2640</v>
      </c>
      <c r="I295" s="1406"/>
      <c r="J295" s="1406"/>
      <c r="K295" s="1406"/>
      <c r="L295" s="1406"/>
      <c r="M295" s="1406"/>
      <c r="N295" s="1406"/>
      <c r="O295" s="1406"/>
      <c r="P295" s="1406"/>
      <c r="Q295" s="1406"/>
      <c r="R295" s="1406"/>
      <c r="T295" s="3" t="s">
        <v>363</v>
      </c>
      <c r="V295" s="3"/>
      <c r="W295" s="3"/>
      <c r="X295" s="3"/>
      <c r="Y295" s="3"/>
      <c r="AA295" s="1406" t="s">
        <v>2644</v>
      </c>
      <c r="AB295" s="1406"/>
      <c r="AC295" s="1406"/>
      <c r="AD295" s="1406"/>
      <c r="AE295" s="1406"/>
      <c r="AF295" s="1406"/>
      <c r="AG295" s="1406"/>
      <c r="AH295" s="1406"/>
      <c r="AI295" s="1406"/>
      <c r="AJ295" s="1406"/>
      <c r="AK295" s="1406"/>
    </row>
    <row r="296" spans="2:37" ht="13.05" customHeight="1">
      <c r="B296" s="3" t="s">
        <v>471</v>
      </c>
      <c r="C296" s="3"/>
      <c r="D296" s="3"/>
      <c r="E296" s="3"/>
      <c r="F296" s="3"/>
      <c r="H296" s="1370" t="s">
        <v>2641</v>
      </c>
      <c r="I296" s="1370"/>
      <c r="J296" s="1370"/>
      <c r="K296" s="1370"/>
      <c r="L296" s="1370"/>
      <c r="M296" s="1370"/>
      <c r="N296" s="1370"/>
      <c r="O296" s="1370"/>
      <c r="P296" s="1370"/>
      <c r="Q296" s="1370"/>
      <c r="R296" s="1370"/>
      <c r="T296" s="3" t="s">
        <v>471</v>
      </c>
      <c r="V296" s="3"/>
      <c r="W296" s="3"/>
      <c r="X296" s="3"/>
      <c r="Y296" s="3"/>
      <c r="AA296" s="1370" t="s">
        <v>2645</v>
      </c>
      <c r="AB296" s="1370"/>
      <c r="AC296" s="1370"/>
      <c r="AD296" s="1370"/>
      <c r="AE296" s="1370"/>
      <c r="AF296" s="1370"/>
      <c r="AG296" s="1370"/>
      <c r="AH296" s="1370"/>
      <c r="AI296" s="1370"/>
      <c r="AJ296" s="1370"/>
      <c r="AK296" s="1370"/>
    </row>
    <row r="297" spans="2:37" ht="13.05" customHeight="1">
      <c r="B297" s="3" t="s">
        <v>472</v>
      </c>
      <c r="C297" s="3"/>
      <c r="D297" s="3"/>
      <c r="E297" s="3"/>
      <c r="F297" s="3"/>
      <c r="H297" s="1370" t="s">
        <v>2642</v>
      </c>
      <c r="I297" s="1370"/>
      <c r="J297" s="1370"/>
      <c r="K297" s="1370"/>
      <c r="L297" s="1370"/>
      <c r="M297" s="1370"/>
      <c r="N297" s="1370"/>
      <c r="O297" s="1370"/>
      <c r="P297" s="1370"/>
      <c r="Q297" s="1370"/>
      <c r="R297" s="1370"/>
      <c r="T297" s="3" t="s">
        <v>75</v>
      </c>
      <c r="V297" s="3"/>
      <c r="W297" s="3"/>
      <c r="X297" s="3"/>
      <c r="Y297" s="3"/>
      <c r="AA297" s="1370" t="s">
        <v>2646</v>
      </c>
      <c r="AB297" s="1370"/>
      <c r="AC297" s="1370"/>
      <c r="AD297" s="1370"/>
      <c r="AE297" s="1370"/>
      <c r="AF297" s="1370"/>
      <c r="AG297" s="1370"/>
      <c r="AH297" s="1370"/>
      <c r="AI297" s="1370"/>
      <c r="AJ297" s="1370"/>
      <c r="AK297" s="1370"/>
    </row>
    <row r="298" spans="2:37" ht="13.05" customHeight="1">
      <c r="B298" s="3" t="s">
        <v>87</v>
      </c>
      <c r="C298" s="3"/>
      <c r="D298" s="3"/>
      <c r="E298" s="3"/>
      <c r="F298" s="3"/>
      <c r="H298" s="1370" t="s">
        <v>2643</v>
      </c>
      <c r="I298" s="1370"/>
      <c r="J298" s="1370"/>
      <c r="K298" s="1370"/>
      <c r="L298" s="1370"/>
      <c r="M298" s="1370"/>
      <c r="N298" s="1370"/>
      <c r="O298" s="1370"/>
      <c r="P298" s="1370"/>
      <c r="Q298" s="1370"/>
      <c r="R298" s="1370"/>
      <c r="T298" s="3" t="s">
        <v>87</v>
      </c>
      <c r="V298" s="3"/>
      <c r="W298" s="3"/>
      <c r="X298" s="3"/>
      <c r="Y298" s="3"/>
      <c r="AA298" s="1370" t="s">
        <v>2647</v>
      </c>
      <c r="AB298" s="1370"/>
      <c r="AC298" s="1370"/>
      <c r="AD298" s="1370"/>
      <c r="AE298" s="1370"/>
      <c r="AF298" s="1370"/>
      <c r="AG298" s="1370"/>
      <c r="AH298" s="1370"/>
      <c r="AI298" s="1370"/>
      <c r="AJ298" s="1370"/>
      <c r="AK298" s="1370"/>
    </row>
    <row r="299" spans="2:37" ht="13.05" customHeight="1">
      <c r="B299" s="3" t="s">
        <v>88</v>
      </c>
      <c r="C299" s="3"/>
      <c r="D299" s="3"/>
      <c r="E299" s="3"/>
      <c r="F299" s="3"/>
      <c r="G299" s="3"/>
      <c r="H299" s="1539" t="s">
        <v>2648</v>
      </c>
      <c r="I299" s="1539"/>
      <c r="J299" s="1539"/>
      <c r="K299" s="1539"/>
      <c r="L299" s="1539"/>
      <c r="M299" s="1539"/>
      <c r="N299" s="4" t="s">
        <v>205</v>
      </c>
      <c r="O299" s="4"/>
      <c r="P299" s="1519"/>
      <c r="Q299" s="1519"/>
      <c r="R299" s="1519"/>
      <c r="S299" s="3"/>
      <c r="T299" s="3" t="s">
        <v>88</v>
      </c>
      <c r="V299" s="3"/>
      <c r="W299" s="3"/>
      <c r="X299" s="3"/>
      <c r="Y299" s="3"/>
      <c r="AA299" s="1539">
        <v>9092677820</v>
      </c>
      <c r="AB299" s="1539"/>
      <c r="AC299" s="1539"/>
      <c r="AD299" s="1539"/>
      <c r="AE299" s="1539"/>
      <c r="AF299" s="1539"/>
      <c r="AG299" s="4" t="s">
        <v>205</v>
      </c>
      <c r="AH299" s="4"/>
      <c r="AI299" s="1519"/>
      <c r="AJ299" s="1519"/>
      <c r="AK299" s="1519"/>
    </row>
    <row r="300" spans="2:37" ht="13.05" customHeight="1">
      <c r="B300" s="3" t="s">
        <v>89</v>
      </c>
      <c r="C300" s="3"/>
      <c r="D300" s="3"/>
      <c r="E300" s="3"/>
      <c r="F300" s="3"/>
      <c r="G300" s="3"/>
      <c r="H300" s="1486"/>
      <c r="I300" s="1486"/>
      <c r="J300" s="1486"/>
      <c r="K300" s="1486"/>
      <c r="L300" s="1486"/>
      <c r="M300" s="1486"/>
      <c r="N300" s="4"/>
      <c r="O300" s="4"/>
      <c r="P300" s="35"/>
      <c r="Q300" s="35"/>
      <c r="R300" s="35"/>
      <c r="S300" s="3"/>
      <c r="T300" s="3" t="s">
        <v>89</v>
      </c>
      <c r="V300" s="3"/>
      <c r="W300" s="3"/>
      <c r="X300" s="3"/>
      <c r="Y300" s="3"/>
      <c r="AA300" s="1486"/>
      <c r="AB300" s="1486"/>
      <c r="AC300" s="1486"/>
      <c r="AD300" s="1486"/>
      <c r="AE300" s="1486"/>
      <c r="AF300" s="1486"/>
      <c r="AG300" s="4"/>
      <c r="AH300" s="4"/>
      <c r="AI300" s="35"/>
      <c r="AJ300" s="35"/>
      <c r="AK300" s="35"/>
    </row>
    <row r="301" spans="2:37" ht="13.05" customHeight="1">
      <c r="B301" s="3" t="s">
        <v>76</v>
      </c>
      <c r="C301" s="3"/>
      <c r="D301" s="3"/>
      <c r="E301" s="3"/>
      <c r="F301" s="3"/>
      <c r="G301" s="3"/>
      <c r="H301" s="1370" t="s">
        <v>2649</v>
      </c>
      <c r="I301" s="1370"/>
      <c r="J301" s="1370"/>
      <c r="K301" s="1370"/>
      <c r="L301" s="1370"/>
      <c r="M301" s="1370"/>
      <c r="N301" s="1406"/>
      <c r="O301" s="1406"/>
      <c r="P301" s="1406"/>
      <c r="Q301" s="1406"/>
      <c r="R301" s="1406"/>
      <c r="S301" s="3"/>
      <c r="T301" s="3" t="s">
        <v>76</v>
      </c>
      <c r="V301" s="3"/>
      <c r="W301" s="3"/>
      <c r="X301" s="3"/>
      <c r="Y301" s="3"/>
      <c r="AA301" s="1370" t="s">
        <v>2650</v>
      </c>
      <c r="AB301" s="1370"/>
      <c r="AC301" s="1370"/>
      <c r="AD301" s="1370"/>
      <c r="AE301" s="1370"/>
      <c r="AF301" s="1370"/>
      <c r="AG301" s="1406"/>
      <c r="AH301" s="1406"/>
      <c r="AI301" s="1406"/>
      <c r="AJ301" s="1406"/>
      <c r="AK301" s="1406"/>
    </row>
    <row r="302" spans="2:37" ht="13.05" customHeight="1"/>
    <row r="303" spans="2:37" ht="13.05" customHeight="1">
      <c r="B303" s="3" t="s">
        <v>77</v>
      </c>
      <c r="C303" s="3"/>
      <c r="D303" s="3"/>
      <c r="E303" s="3"/>
      <c r="F303" s="3"/>
      <c r="H303" s="1406" t="s">
        <v>2651</v>
      </c>
      <c r="I303" s="1406"/>
      <c r="J303" s="1406"/>
      <c r="K303" s="1406"/>
      <c r="L303" s="1406"/>
      <c r="M303" s="1406"/>
      <c r="N303" s="1406"/>
      <c r="O303" s="1406"/>
      <c r="P303" s="1406"/>
      <c r="Q303" s="1406"/>
      <c r="R303" s="1406"/>
      <c r="T303" s="4" t="s">
        <v>878</v>
      </c>
      <c r="V303" s="3"/>
      <c r="W303" s="3"/>
      <c r="X303" s="3"/>
      <c r="Y303" s="3"/>
      <c r="AA303" s="1406" t="s">
        <v>2655</v>
      </c>
      <c r="AB303" s="1406"/>
      <c r="AC303" s="1406"/>
      <c r="AD303" s="1406"/>
      <c r="AE303" s="1406"/>
      <c r="AF303" s="1406"/>
      <c r="AG303" s="1406"/>
      <c r="AH303" s="1406"/>
      <c r="AI303" s="1406"/>
      <c r="AJ303" s="1406"/>
      <c r="AK303" s="1406"/>
    </row>
    <row r="304" spans="2:37" ht="13.05" customHeight="1">
      <c r="B304" s="3" t="s">
        <v>471</v>
      </c>
      <c r="C304" s="3"/>
      <c r="D304" s="3"/>
      <c r="E304" s="3"/>
      <c r="F304" s="3"/>
      <c r="H304" s="1370" t="s">
        <v>2652</v>
      </c>
      <c r="I304" s="1370"/>
      <c r="J304" s="1370"/>
      <c r="K304" s="1370"/>
      <c r="L304" s="1370"/>
      <c r="M304" s="1370"/>
      <c r="N304" s="1370"/>
      <c r="O304" s="1370"/>
      <c r="P304" s="1370"/>
      <c r="Q304" s="1370"/>
      <c r="R304" s="1370"/>
      <c r="T304" s="3" t="s">
        <v>471</v>
      </c>
      <c r="V304" s="3"/>
      <c r="W304" s="3"/>
      <c r="X304" s="3"/>
      <c r="Y304" s="3"/>
      <c r="AA304" s="1370" t="s">
        <v>2656</v>
      </c>
      <c r="AB304" s="1370"/>
      <c r="AC304" s="1370"/>
      <c r="AD304" s="1370"/>
      <c r="AE304" s="1370"/>
      <c r="AF304" s="1370"/>
      <c r="AG304" s="1370"/>
      <c r="AH304" s="1370"/>
      <c r="AI304" s="1370"/>
      <c r="AJ304" s="1370"/>
      <c r="AK304" s="1370"/>
    </row>
    <row r="305" spans="2:37" ht="13.05" customHeight="1">
      <c r="B305" s="3" t="s">
        <v>472</v>
      </c>
      <c r="C305" s="3"/>
      <c r="D305" s="3"/>
      <c r="E305" s="3"/>
      <c r="F305" s="3"/>
      <c r="H305" s="1370" t="s">
        <v>2653</v>
      </c>
      <c r="I305" s="1370"/>
      <c r="J305" s="1370"/>
      <c r="K305" s="1370"/>
      <c r="L305" s="1370"/>
      <c r="M305" s="1370"/>
      <c r="N305" s="1370"/>
      <c r="O305" s="1370"/>
      <c r="P305" s="1370"/>
      <c r="Q305" s="1370"/>
      <c r="R305" s="1370"/>
      <c r="T305" s="3" t="s">
        <v>75</v>
      </c>
      <c r="V305" s="3"/>
      <c r="W305" s="3"/>
      <c r="X305" s="3"/>
      <c r="Y305" s="3"/>
      <c r="AA305" s="1370" t="s">
        <v>2657</v>
      </c>
      <c r="AB305" s="1370"/>
      <c r="AC305" s="1370"/>
      <c r="AD305" s="1370"/>
      <c r="AE305" s="1370"/>
      <c r="AF305" s="1370"/>
      <c r="AG305" s="1370"/>
      <c r="AH305" s="1370"/>
      <c r="AI305" s="1370"/>
      <c r="AJ305" s="1370"/>
      <c r="AK305" s="1370"/>
    </row>
    <row r="306" spans="2:37" ht="13.05" customHeight="1">
      <c r="B306" s="3" t="s">
        <v>87</v>
      </c>
      <c r="C306" s="3"/>
      <c r="D306" s="3"/>
      <c r="E306" s="3"/>
      <c r="F306" s="3"/>
      <c r="H306" s="1370" t="s">
        <v>2654</v>
      </c>
      <c r="I306" s="1370"/>
      <c r="J306" s="1370"/>
      <c r="K306" s="1370"/>
      <c r="L306" s="1370"/>
      <c r="M306" s="1370"/>
      <c r="N306" s="1370"/>
      <c r="O306" s="1370"/>
      <c r="P306" s="1370"/>
      <c r="Q306" s="1370"/>
      <c r="R306" s="1370"/>
      <c r="T306" s="3" t="s">
        <v>87</v>
      </c>
      <c r="V306" s="3"/>
      <c r="W306" s="3"/>
      <c r="X306" s="3"/>
      <c r="Y306" s="3"/>
      <c r="AA306" s="1370" t="s">
        <v>2658</v>
      </c>
      <c r="AB306" s="1370"/>
      <c r="AC306" s="1370"/>
      <c r="AD306" s="1370"/>
      <c r="AE306" s="1370"/>
      <c r="AF306" s="1370"/>
      <c r="AG306" s="1370"/>
      <c r="AH306" s="1370"/>
      <c r="AI306" s="1370"/>
      <c r="AJ306" s="1370"/>
      <c r="AK306" s="1370"/>
    </row>
    <row r="307" spans="2:37" ht="13.05" customHeight="1">
      <c r="B307" s="3" t="s">
        <v>88</v>
      </c>
      <c r="C307" s="3"/>
      <c r="D307" s="3"/>
      <c r="E307" s="3"/>
      <c r="F307" s="3"/>
      <c r="G307" s="3"/>
      <c r="H307" s="1539" t="s">
        <v>2659</v>
      </c>
      <c r="I307" s="1539"/>
      <c r="J307" s="1539"/>
      <c r="K307" s="1539"/>
      <c r="L307" s="1539"/>
      <c r="M307" s="1539"/>
      <c r="N307" s="4" t="s">
        <v>205</v>
      </c>
      <c r="O307" s="4"/>
      <c r="P307" s="1519"/>
      <c r="Q307" s="1519"/>
      <c r="R307" s="1519"/>
      <c r="S307" s="3"/>
      <c r="T307" s="3" t="s">
        <v>88</v>
      </c>
      <c r="V307" s="3"/>
      <c r="W307" s="3"/>
      <c r="X307" s="3"/>
      <c r="Y307" s="3"/>
      <c r="AA307" s="1539" t="s">
        <v>2660</v>
      </c>
      <c r="AB307" s="1539"/>
      <c r="AC307" s="1539"/>
      <c r="AD307" s="1539"/>
      <c r="AE307" s="1539"/>
      <c r="AF307" s="1539"/>
      <c r="AG307" s="4" t="s">
        <v>205</v>
      </c>
      <c r="AH307" s="4"/>
      <c r="AI307" s="1519"/>
      <c r="AJ307" s="1519"/>
      <c r="AK307" s="1519"/>
    </row>
    <row r="308" spans="2:37" ht="13.05" customHeight="1">
      <c r="B308" s="3" t="s">
        <v>89</v>
      </c>
      <c r="C308" s="3"/>
      <c r="D308" s="3"/>
      <c r="E308" s="3"/>
      <c r="F308" s="3"/>
      <c r="G308" s="3"/>
      <c r="H308" s="1486"/>
      <c r="I308" s="1486"/>
      <c r="J308" s="1486"/>
      <c r="K308" s="1486"/>
      <c r="L308" s="1486"/>
      <c r="M308" s="1486"/>
      <c r="N308" s="4"/>
      <c r="O308" s="4"/>
      <c r="P308" s="35"/>
      <c r="Q308" s="35"/>
      <c r="R308" s="35"/>
      <c r="S308" s="3"/>
      <c r="T308" s="3" t="s">
        <v>89</v>
      </c>
      <c r="V308" s="3"/>
      <c r="W308" s="3"/>
      <c r="X308" s="3"/>
      <c r="Y308" s="3"/>
      <c r="AA308" s="1486"/>
      <c r="AB308" s="1486"/>
      <c r="AC308" s="1486"/>
      <c r="AD308" s="1486"/>
      <c r="AE308" s="1486"/>
      <c r="AF308" s="1486"/>
      <c r="AG308" s="4"/>
      <c r="AH308" s="4"/>
      <c r="AI308" s="35"/>
      <c r="AJ308" s="35"/>
      <c r="AK308" s="35"/>
    </row>
    <row r="309" spans="2:37" ht="13.05" customHeight="1">
      <c r="B309" s="3" t="s">
        <v>76</v>
      </c>
      <c r="C309" s="3"/>
      <c r="D309" s="3"/>
      <c r="E309" s="3"/>
      <c r="F309" s="3"/>
      <c r="G309" s="3"/>
      <c r="H309" s="1370" t="s">
        <v>2661</v>
      </c>
      <c r="I309" s="1370"/>
      <c r="J309" s="1370"/>
      <c r="K309" s="1370"/>
      <c r="L309" s="1370"/>
      <c r="M309" s="1370"/>
      <c r="N309" s="1406"/>
      <c r="O309" s="1406"/>
      <c r="P309" s="1406"/>
      <c r="Q309" s="1406"/>
      <c r="R309" s="1406"/>
      <c r="S309" s="3"/>
      <c r="T309" s="3" t="s">
        <v>76</v>
      </c>
      <c r="V309" s="3"/>
      <c r="W309" s="3"/>
      <c r="X309" s="3"/>
      <c r="Y309" s="3"/>
      <c r="AA309" s="1370" t="s">
        <v>2662</v>
      </c>
      <c r="AB309" s="1370"/>
      <c r="AC309" s="1370"/>
      <c r="AD309" s="1370"/>
      <c r="AE309" s="1370"/>
      <c r="AF309" s="1370"/>
      <c r="AG309" s="1406"/>
      <c r="AH309" s="1406"/>
      <c r="AI309" s="1406"/>
      <c r="AJ309" s="1406"/>
      <c r="AK309" s="1406"/>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406" t="s">
        <v>2651</v>
      </c>
      <c r="I311" s="1406"/>
      <c r="J311" s="1406"/>
      <c r="K311" s="1406"/>
      <c r="L311" s="1406"/>
      <c r="M311" s="1406"/>
      <c r="N311" s="1406"/>
      <c r="O311" s="1406"/>
      <c r="P311" s="1406"/>
      <c r="Q311" s="1406"/>
      <c r="R311" s="1406"/>
      <c r="S311" s="3"/>
      <c r="T311" s="3" t="s">
        <v>364</v>
      </c>
      <c r="V311" s="3"/>
      <c r="W311" s="3"/>
      <c r="X311" s="3"/>
      <c r="Y311" s="3"/>
      <c r="AA311" s="1406" t="s">
        <v>2663</v>
      </c>
      <c r="AB311" s="1406"/>
      <c r="AC311" s="1406"/>
      <c r="AD311" s="1406"/>
      <c r="AE311" s="1406"/>
      <c r="AF311" s="1406"/>
      <c r="AG311" s="1406"/>
      <c r="AH311" s="1406"/>
      <c r="AI311" s="1406"/>
      <c r="AJ311" s="1406"/>
      <c r="AK311" s="1406"/>
    </row>
    <row r="312" spans="2:37" ht="13.05" customHeight="1">
      <c r="B312" s="3" t="s">
        <v>471</v>
      </c>
      <c r="C312" s="3"/>
      <c r="D312" s="3"/>
      <c r="E312" s="3"/>
      <c r="F312" s="3"/>
      <c r="H312" s="1370" t="s">
        <v>2652</v>
      </c>
      <c r="I312" s="1370"/>
      <c r="J312" s="1370"/>
      <c r="K312" s="1370"/>
      <c r="L312" s="1370"/>
      <c r="M312" s="1370"/>
      <c r="N312" s="1370"/>
      <c r="O312" s="1370"/>
      <c r="P312" s="1370"/>
      <c r="Q312" s="1370"/>
      <c r="R312" s="1370"/>
      <c r="S312" s="3"/>
      <c r="T312" s="3" t="s">
        <v>471</v>
      </c>
      <c r="V312" s="3"/>
      <c r="W312" s="3"/>
      <c r="X312" s="3"/>
      <c r="Y312" s="3"/>
      <c r="AA312" s="1370"/>
      <c r="AB312" s="1370"/>
      <c r="AC312" s="1370"/>
      <c r="AD312" s="1370"/>
      <c r="AE312" s="1370"/>
      <c r="AF312" s="1370"/>
      <c r="AG312" s="1370"/>
      <c r="AH312" s="1370"/>
      <c r="AI312" s="1370"/>
      <c r="AJ312" s="1370"/>
      <c r="AK312" s="1370"/>
    </row>
    <row r="313" spans="2:37" ht="13.05" customHeight="1">
      <c r="B313" s="3" t="s">
        <v>472</v>
      </c>
      <c r="C313" s="3"/>
      <c r="D313" s="3"/>
      <c r="E313" s="3"/>
      <c r="F313" s="3"/>
      <c r="H313" s="1370" t="s">
        <v>2653</v>
      </c>
      <c r="I313" s="1370"/>
      <c r="J313" s="1370"/>
      <c r="K313" s="1370"/>
      <c r="L313" s="1370"/>
      <c r="M313" s="1370"/>
      <c r="N313" s="1370"/>
      <c r="O313" s="1370"/>
      <c r="P313" s="1370"/>
      <c r="Q313" s="1370"/>
      <c r="R313" s="1370"/>
      <c r="S313" s="3"/>
      <c r="T313" s="3" t="s">
        <v>75</v>
      </c>
      <c r="V313" s="3"/>
      <c r="W313" s="3"/>
      <c r="X313" s="3"/>
      <c r="Y313" s="3"/>
      <c r="AA313" s="1370"/>
      <c r="AB313" s="1370"/>
      <c r="AC313" s="1370"/>
      <c r="AD313" s="1370"/>
      <c r="AE313" s="1370"/>
      <c r="AF313" s="1370"/>
      <c r="AG313" s="1370"/>
      <c r="AH313" s="1370"/>
      <c r="AI313" s="1370"/>
      <c r="AJ313" s="1370"/>
      <c r="AK313" s="1370"/>
    </row>
    <row r="314" spans="2:37" ht="13.05" customHeight="1">
      <c r="B314" s="3" t="s">
        <v>87</v>
      </c>
      <c r="C314" s="3"/>
      <c r="D314" s="3"/>
      <c r="E314" s="3"/>
      <c r="F314" s="3"/>
      <c r="H314" s="1370" t="s">
        <v>2654</v>
      </c>
      <c r="I314" s="1370"/>
      <c r="J314" s="1370"/>
      <c r="K314" s="1370"/>
      <c r="L314" s="1370"/>
      <c r="M314" s="1370"/>
      <c r="N314" s="1370"/>
      <c r="O314" s="1370"/>
      <c r="P314" s="1370"/>
      <c r="Q314" s="1370"/>
      <c r="R314" s="1370"/>
      <c r="S314" s="3"/>
      <c r="T314" s="3" t="s">
        <v>87</v>
      </c>
      <c r="V314" s="3"/>
      <c r="W314" s="3"/>
      <c r="X314" s="3"/>
      <c r="Y314" s="3"/>
      <c r="AA314" s="1370"/>
      <c r="AB314" s="1370"/>
      <c r="AC314" s="1370"/>
      <c r="AD314" s="1370"/>
      <c r="AE314" s="1370"/>
      <c r="AF314" s="1370"/>
      <c r="AG314" s="1370"/>
      <c r="AH314" s="1370"/>
      <c r="AI314" s="1370"/>
      <c r="AJ314" s="1370"/>
      <c r="AK314" s="1370"/>
    </row>
    <row r="315" spans="2:37" ht="13.05" customHeight="1">
      <c r="B315" s="3" t="s">
        <v>88</v>
      </c>
      <c r="C315" s="3"/>
      <c r="D315" s="3"/>
      <c r="E315" s="3"/>
      <c r="F315" s="3"/>
      <c r="G315" s="3"/>
      <c r="H315" s="1539" t="s">
        <v>2659</v>
      </c>
      <c r="I315" s="1539"/>
      <c r="J315" s="1539"/>
      <c r="K315" s="1539"/>
      <c r="L315" s="1539"/>
      <c r="M315" s="1539"/>
      <c r="N315" s="4" t="s">
        <v>205</v>
      </c>
      <c r="O315" s="4"/>
      <c r="P315" s="1519"/>
      <c r="Q315" s="1519"/>
      <c r="R315" s="1519"/>
      <c r="S315" s="3"/>
      <c r="T315" s="3" t="s">
        <v>88</v>
      </c>
      <c r="V315" s="3"/>
      <c r="W315" s="3"/>
      <c r="X315" s="3"/>
      <c r="Y315" s="3"/>
      <c r="AA315" s="1539"/>
      <c r="AB315" s="1539"/>
      <c r="AC315" s="1539"/>
      <c r="AD315" s="1539"/>
      <c r="AE315" s="1539"/>
      <c r="AF315" s="1539"/>
      <c r="AG315" s="4" t="s">
        <v>205</v>
      </c>
      <c r="AH315" s="4"/>
      <c r="AI315" s="1519"/>
      <c r="AJ315" s="1519"/>
      <c r="AK315" s="1519"/>
    </row>
    <row r="316" spans="2:37" ht="13.05" customHeight="1">
      <c r="B316" s="3" t="s">
        <v>89</v>
      </c>
      <c r="C316" s="3"/>
      <c r="D316" s="3"/>
      <c r="E316" s="3"/>
      <c r="F316" s="3"/>
      <c r="G316" s="3"/>
      <c r="H316" s="1486"/>
      <c r="I316" s="1486"/>
      <c r="J316" s="1486"/>
      <c r="K316" s="1486"/>
      <c r="L316" s="1486"/>
      <c r="M316" s="1486"/>
      <c r="N316" s="4"/>
      <c r="O316" s="4"/>
      <c r="P316" s="35"/>
      <c r="Q316" s="35"/>
      <c r="R316" s="35"/>
      <c r="S316" s="3"/>
      <c r="T316" s="3" t="s">
        <v>89</v>
      </c>
      <c r="V316" s="3"/>
      <c r="W316" s="3"/>
      <c r="X316" s="3"/>
      <c r="Y316" s="3"/>
      <c r="AA316" s="1486"/>
      <c r="AB316" s="1486"/>
      <c r="AC316" s="1486"/>
      <c r="AD316" s="1486"/>
      <c r="AE316" s="1486"/>
      <c r="AF316" s="1486"/>
      <c r="AG316" s="4"/>
      <c r="AH316" s="4"/>
      <c r="AI316" s="35"/>
      <c r="AJ316" s="35"/>
      <c r="AK316" s="35"/>
    </row>
    <row r="317" spans="2:37" ht="13.05" customHeight="1">
      <c r="B317" s="3" t="s">
        <v>76</v>
      </c>
      <c r="C317" s="3"/>
      <c r="D317" s="3"/>
      <c r="E317" s="3"/>
      <c r="F317" s="3"/>
      <c r="G317" s="3"/>
      <c r="H317" s="1370" t="s">
        <v>2661</v>
      </c>
      <c r="I317" s="1370"/>
      <c r="J317" s="1370"/>
      <c r="K317" s="1370"/>
      <c r="L317" s="1370"/>
      <c r="M317" s="1370"/>
      <c r="N317" s="1406"/>
      <c r="O317" s="1406"/>
      <c r="P317" s="1406"/>
      <c r="Q317" s="1406"/>
      <c r="R317" s="1406"/>
      <c r="S317" s="3"/>
      <c r="T317" s="3" t="s">
        <v>76</v>
      </c>
      <c r="V317" s="3"/>
      <c r="W317" s="3"/>
      <c r="X317" s="3"/>
      <c r="Y317" s="3"/>
      <c r="AA317" s="1370"/>
      <c r="AB317" s="1370"/>
      <c r="AC317" s="1370"/>
      <c r="AD317" s="1370"/>
      <c r="AE317" s="1370"/>
      <c r="AF317" s="1370"/>
      <c r="AG317" s="1406"/>
      <c r="AH317" s="1406"/>
      <c r="AI317" s="1406"/>
      <c r="AJ317" s="1406"/>
      <c r="AK317" s="1406"/>
    </row>
    <row r="318" spans="2:37" ht="13.05" customHeight="1"/>
    <row r="319" spans="2:37" ht="13.05" customHeight="1">
      <c r="B319" s="4" t="s">
        <v>908</v>
      </c>
      <c r="C319" s="3"/>
      <c r="D319" s="3"/>
      <c r="E319" s="3"/>
      <c r="F319" s="3"/>
      <c r="H319" s="1406" t="s">
        <v>2664</v>
      </c>
      <c r="I319" s="1406"/>
      <c r="J319" s="1406"/>
      <c r="K319" s="1406"/>
      <c r="L319" s="1406"/>
      <c r="M319" s="1406"/>
      <c r="N319" s="1406"/>
      <c r="O319" s="1406"/>
      <c r="P319" s="1406"/>
      <c r="Q319" s="1406"/>
      <c r="R319" s="1406"/>
      <c r="T319" s="3" t="s">
        <v>365</v>
      </c>
      <c r="V319" s="3"/>
      <c r="W319" s="3"/>
      <c r="X319" s="3"/>
      <c r="Y319" s="3"/>
      <c r="AA319" s="1406" t="s">
        <v>2667</v>
      </c>
      <c r="AB319" s="1406"/>
      <c r="AC319" s="1406"/>
      <c r="AD319" s="1406"/>
      <c r="AE319" s="1406"/>
      <c r="AF319" s="1406"/>
      <c r="AG319" s="1406"/>
      <c r="AH319" s="1406"/>
      <c r="AI319" s="1406"/>
      <c r="AJ319" s="1406"/>
      <c r="AK319" s="1406"/>
    </row>
    <row r="320" spans="2:37" ht="13.05" customHeight="1">
      <c r="B320" s="3" t="s">
        <v>471</v>
      </c>
      <c r="C320" s="3"/>
      <c r="D320" s="3"/>
      <c r="E320" s="3"/>
      <c r="F320" s="3"/>
      <c r="H320" s="1563" t="s">
        <v>2738</v>
      </c>
      <c r="I320" s="1370"/>
      <c r="J320" s="1370"/>
      <c r="K320" s="1370"/>
      <c r="L320" s="1370"/>
      <c r="M320" s="1370"/>
      <c r="N320" s="1370"/>
      <c r="O320" s="1370"/>
      <c r="P320" s="1370"/>
      <c r="Q320" s="1370"/>
      <c r="R320" s="1370"/>
      <c r="T320" s="3" t="s">
        <v>471</v>
      </c>
      <c r="V320" s="3"/>
      <c r="W320" s="3"/>
      <c r="X320" s="3"/>
      <c r="Y320" s="3"/>
      <c r="AA320" s="1370" t="s">
        <v>2668</v>
      </c>
      <c r="AB320" s="1370"/>
      <c r="AC320" s="1370"/>
      <c r="AD320" s="1370"/>
      <c r="AE320" s="1370"/>
      <c r="AF320" s="1370"/>
      <c r="AG320" s="1370"/>
      <c r="AH320" s="1370"/>
      <c r="AI320" s="1370"/>
      <c r="AJ320" s="1370"/>
      <c r="AK320" s="1370"/>
    </row>
    <row r="321" spans="2:37" ht="13.05" customHeight="1">
      <c r="B321" s="3" t="s">
        <v>472</v>
      </c>
      <c r="C321" s="3"/>
      <c r="D321" s="3"/>
      <c r="E321" s="3"/>
      <c r="F321" s="3"/>
      <c r="H321" s="1563" t="s">
        <v>2739</v>
      </c>
      <c r="I321" s="1370"/>
      <c r="J321" s="1370"/>
      <c r="K321" s="1370"/>
      <c r="L321" s="1370"/>
      <c r="M321" s="1370"/>
      <c r="N321" s="1370"/>
      <c r="O321" s="1370"/>
      <c r="P321" s="1370"/>
      <c r="Q321" s="1370"/>
      <c r="R321" s="1370"/>
      <c r="T321" s="3" t="s">
        <v>75</v>
      </c>
      <c r="V321" s="3"/>
      <c r="W321" s="3"/>
      <c r="X321" s="3"/>
      <c r="Y321" s="3"/>
      <c r="AA321" s="1370" t="s">
        <v>2669</v>
      </c>
      <c r="AB321" s="1370"/>
      <c r="AC321" s="1370"/>
      <c r="AD321" s="1370"/>
      <c r="AE321" s="1370"/>
      <c r="AF321" s="1370"/>
      <c r="AG321" s="1370"/>
      <c r="AH321" s="1370"/>
      <c r="AI321" s="1370"/>
      <c r="AJ321" s="1370"/>
      <c r="AK321" s="1370"/>
    </row>
    <row r="322" spans="2:37" ht="13.05" customHeight="1">
      <c r="B322" s="3" t="s">
        <v>87</v>
      </c>
      <c r="C322" s="3"/>
      <c r="D322" s="3"/>
      <c r="E322" s="3"/>
      <c r="F322" s="3"/>
      <c r="H322" s="1370" t="s">
        <v>2665</v>
      </c>
      <c r="I322" s="1370"/>
      <c r="J322" s="1370"/>
      <c r="K322" s="1370"/>
      <c r="L322" s="1370"/>
      <c r="M322" s="1370"/>
      <c r="N322" s="1370"/>
      <c r="O322" s="1370"/>
      <c r="P322" s="1370"/>
      <c r="Q322" s="1370"/>
      <c r="R322" s="1370"/>
      <c r="T322" s="3" t="s">
        <v>87</v>
      </c>
      <c r="V322" s="3"/>
      <c r="W322" s="3"/>
      <c r="X322" s="3"/>
      <c r="Y322" s="3"/>
      <c r="AA322" s="1370" t="s">
        <v>2670</v>
      </c>
      <c r="AB322" s="1370"/>
      <c r="AC322" s="1370"/>
      <c r="AD322" s="1370"/>
      <c r="AE322" s="1370"/>
      <c r="AF322" s="1370"/>
      <c r="AG322" s="1370"/>
      <c r="AH322" s="1370"/>
      <c r="AI322" s="1370"/>
      <c r="AJ322" s="1370"/>
      <c r="AK322" s="1370"/>
    </row>
    <row r="323" spans="2:37" ht="13.05" customHeight="1">
      <c r="B323" s="3" t="s">
        <v>88</v>
      </c>
      <c r="C323" s="3"/>
      <c r="D323" s="3"/>
      <c r="E323" s="3"/>
      <c r="F323" s="3"/>
      <c r="G323" s="3"/>
      <c r="H323" s="1852" t="s">
        <v>2737</v>
      </c>
      <c r="I323" s="1852"/>
      <c r="J323" s="1852"/>
      <c r="K323" s="1852"/>
      <c r="L323" s="1852"/>
      <c r="M323" s="1852"/>
      <c r="N323" s="4" t="s">
        <v>205</v>
      </c>
      <c r="O323" s="4"/>
      <c r="P323" s="1519"/>
      <c r="Q323" s="1519"/>
      <c r="R323" s="1519"/>
      <c r="S323" s="3"/>
      <c r="T323" s="3" t="s">
        <v>88</v>
      </c>
      <c r="V323" s="3"/>
      <c r="W323" s="3"/>
      <c r="X323" s="3"/>
      <c r="Y323" s="3"/>
      <c r="AA323" s="1539" t="s">
        <v>2671</v>
      </c>
      <c r="AB323" s="1539"/>
      <c r="AC323" s="1539"/>
      <c r="AD323" s="1539"/>
      <c r="AE323" s="1539"/>
      <c r="AF323" s="1539"/>
      <c r="AG323" s="4" t="s">
        <v>205</v>
      </c>
      <c r="AH323" s="4"/>
      <c r="AI323" s="1519"/>
      <c r="AJ323" s="1519"/>
      <c r="AK323" s="1519"/>
    </row>
    <row r="324" spans="2:37" ht="13.05" customHeight="1">
      <c r="B324" s="3" t="s">
        <v>89</v>
      </c>
      <c r="C324" s="3"/>
      <c r="D324" s="3"/>
      <c r="E324" s="3"/>
      <c r="F324" s="3"/>
      <c r="G324" s="3"/>
      <c r="H324" s="1486"/>
      <c r="I324" s="1486"/>
      <c r="J324" s="1486"/>
      <c r="K324" s="1486"/>
      <c r="L324" s="1486"/>
      <c r="M324" s="1486"/>
      <c r="N324" s="4"/>
      <c r="O324" s="4"/>
      <c r="P324" s="35"/>
      <c r="Q324" s="35"/>
      <c r="R324" s="35"/>
      <c r="S324" s="3"/>
      <c r="T324" s="3" t="s">
        <v>89</v>
      </c>
      <c r="V324" s="3"/>
      <c r="W324" s="3"/>
      <c r="X324" s="3"/>
      <c r="Y324" s="3"/>
      <c r="AA324" s="1486" t="s">
        <v>2672</v>
      </c>
      <c r="AB324" s="1486"/>
      <c r="AC324" s="1486"/>
      <c r="AD324" s="1486"/>
      <c r="AE324" s="1486"/>
      <c r="AF324" s="1486"/>
      <c r="AG324" s="4"/>
      <c r="AH324" s="4"/>
      <c r="AI324" s="35"/>
      <c r="AJ324" s="35"/>
      <c r="AK324" s="35"/>
    </row>
    <row r="325" spans="2:37" ht="13.05" customHeight="1">
      <c r="B325" s="3" t="s">
        <v>76</v>
      </c>
      <c r="C325" s="3"/>
      <c r="D325" s="3"/>
      <c r="E325" s="3"/>
      <c r="F325" s="3"/>
      <c r="G325" s="3"/>
      <c r="H325" s="1370" t="s">
        <v>2666</v>
      </c>
      <c r="I325" s="1370"/>
      <c r="J325" s="1370"/>
      <c r="K325" s="1370"/>
      <c r="L325" s="1370"/>
      <c r="M325" s="1370"/>
      <c r="N325" s="1406"/>
      <c r="O325" s="1406"/>
      <c r="P325" s="1406"/>
      <c r="Q325" s="1406"/>
      <c r="R325" s="1406"/>
      <c r="S325" s="3"/>
      <c r="T325" s="3" t="s">
        <v>76</v>
      </c>
      <c r="V325" s="3"/>
      <c r="W325" s="3"/>
      <c r="X325" s="3"/>
      <c r="Y325" s="3"/>
      <c r="AA325" s="1370" t="s">
        <v>2673</v>
      </c>
      <c r="AB325" s="1370"/>
      <c r="AC325" s="1370"/>
      <c r="AD325" s="1370"/>
      <c r="AE325" s="1370"/>
      <c r="AF325" s="1370"/>
      <c r="AG325" s="1406"/>
      <c r="AH325" s="1406"/>
      <c r="AI325" s="1406"/>
      <c r="AJ325" s="1406"/>
      <c r="AK325" s="1406"/>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366</v>
      </c>
      <c r="C327" s="3"/>
      <c r="D327" s="3"/>
      <c r="E327" s="3"/>
      <c r="F327" s="3"/>
      <c r="H327" s="1406" t="s">
        <v>2667</v>
      </c>
      <c r="I327" s="1406"/>
      <c r="J327" s="1406"/>
      <c r="K327" s="1406"/>
      <c r="L327" s="1406"/>
      <c r="M327" s="1406"/>
      <c r="N327" s="1406"/>
      <c r="O327" s="1406"/>
      <c r="P327" s="1406"/>
      <c r="Q327" s="1406"/>
      <c r="R327" s="1406"/>
      <c r="T327" s="3" t="s">
        <v>367</v>
      </c>
      <c r="V327" s="3"/>
      <c r="W327" s="3"/>
      <c r="X327" s="3"/>
      <c r="Y327" s="3"/>
      <c r="AA327" s="1406" t="s">
        <v>2674</v>
      </c>
      <c r="AB327" s="1406"/>
      <c r="AC327" s="1406"/>
      <c r="AD327" s="1406"/>
      <c r="AE327" s="1406"/>
      <c r="AF327" s="1406"/>
      <c r="AG327" s="1406"/>
      <c r="AH327" s="1406"/>
      <c r="AI327" s="1406"/>
      <c r="AJ327" s="1406"/>
      <c r="AK327" s="1406"/>
    </row>
    <row r="328" spans="2:37" ht="13.05" customHeight="1">
      <c r="B328" s="3" t="s">
        <v>471</v>
      </c>
      <c r="C328" s="3"/>
      <c r="D328" s="3"/>
      <c r="E328" s="3"/>
      <c r="F328" s="3"/>
      <c r="H328" s="1370" t="s">
        <v>2668</v>
      </c>
      <c r="I328" s="1370"/>
      <c r="J328" s="1370"/>
      <c r="K328" s="1370"/>
      <c r="L328" s="1370"/>
      <c r="M328" s="1370"/>
      <c r="N328" s="1370"/>
      <c r="O328" s="1370"/>
      <c r="P328" s="1370"/>
      <c r="Q328" s="1370"/>
      <c r="R328" s="1370"/>
      <c r="T328" s="3" t="s">
        <v>471</v>
      </c>
      <c r="V328" s="3"/>
      <c r="W328" s="3"/>
      <c r="X328" s="3"/>
      <c r="Y328" s="3"/>
      <c r="AA328" s="1370" t="s">
        <v>2656</v>
      </c>
      <c r="AB328" s="1370"/>
      <c r="AC328" s="1370"/>
      <c r="AD328" s="1370"/>
      <c r="AE328" s="1370"/>
      <c r="AF328" s="1370"/>
      <c r="AG328" s="1370"/>
      <c r="AH328" s="1370"/>
      <c r="AI328" s="1370"/>
      <c r="AJ328" s="1370"/>
      <c r="AK328" s="1370"/>
    </row>
    <row r="329" spans="2:37" ht="13.05" customHeight="1">
      <c r="B329" s="3" t="s">
        <v>472</v>
      </c>
      <c r="C329" s="3"/>
      <c r="D329" s="3"/>
      <c r="E329" s="3"/>
      <c r="F329" s="3"/>
      <c r="H329" s="1370" t="s">
        <v>2669</v>
      </c>
      <c r="I329" s="1370"/>
      <c r="J329" s="1370"/>
      <c r="K329" s="1370"/>
      <c r="L329" s="1370"/>
      <c r="M329" s="1370"/>
      <c r="N329" s="1370"/>
      <c r="O329" s="1370"/>
      <c r="P329" s="1370"/>
      <c r="Q329" s="1370"/>
      <c r="R329" s="1370"/>
      <c r="T329" s="3" t="s">
        <v>75</v>
      </c>
      <c r="V329" s="3"/>
      <c r="W329" s="3"/>
      <c r="X329" s="3"/>
      <c r="Y329" s="3"/>
      <c r="AA329" s="1370" t="s">
        <v>2657</v>
      </c>
      <c r="AB329" s="1370"/>
      <c r="AC329" s="1370"/>
      <c r="AD329" s="1370"/>
      <c r="AE329" s="1370"/>
      <c r="AF329" s="1370"/>
      <c r="AG329" s="1370"/>
      <c r="AH329" s="1370"/>
      <c r="AI329" s="1370"/>
      <c r="AJ329" s="1370"/>
      <c r="AK329" s="1370"/>
    </row>
    <row r="330" spans="2:37" ht="13.05" customHeight="1">
      <c r="B330" s="3" t="s">
        <v>87</v>
      </c>
      <c r="C330" s="3"/>
      <c r="D330" s="3"/>
      <c r="E330" s="3"/>
      <c r="F330" s="3"/>
      <c r="H330" s="1370" t="s">
        <v>2670</v>
      </c>
      <c r="I330" s="1370"/>
      <c r="J330" s="1370"/>
      <c r="K330" s="1370"/>
      <c r="L330" s="1370"/>
      <c r="M330" s="1370"/>
      <c r="N330" s="1370"/>
      <c r="O330" s="1370"/>
      <c r="P330" s="1370"/>
      <c r="Q330" s="1370"/>
      <c r="R330" s="1370"/>
      <c r="T330" s="3" t="s">
        <v>87</v>
      </c>
      <c r="V330" s="3"/>
      <c r="W330" s="3"/>
      <c r="X330" s="3"/>
      <c r="Y330" s="3"/>
      <c r="AA330" s="1370" t="s">
        <v>2658</v>
      </c>
      <c r="AB330" s="1370"/>
      <c r="AC330" s="1370"/>
      <c r="AD330" s="1370"/>
      <c r="AE330" s="1370"/>
      <c r="AF330" s="1370"/>
      <c r="AG330" s="1370"/>
      <c r="AH330" s="1370"/>
      <c r="AI330" s="1370"/>
      <c r="AJ330" s="1370"/>
      <c r="AK330" s="1370"/>
    </row>
    <row r="331" spans="2:37" ht="13.05" customHeight="1">
      <c r="B331" s="3" t="s">
        <v>88</v>
      </c>
      <c r="C331" s="3"/>
      <c r="D331" s="3"/>
      <c r="E331" s="3"/>
      <c r="F331" s="3"/>
      <c r="G331" s="3"/>
      <c r="H331" s="1539" t="s">
        <v>2671</v>
      </c>
      <c r="I331" s="1539"/>
      <c r="J331" s="1539"/>
      <c r="K331" s="1539"/>
      <c r="L331" s="1539"/>
      <c r="M331" s="1539"/>
      <c r="N331" s="4" t="s">
        <v>205</v>
      </c>
      <c r="O331" s="4"/>
      <c r="P331" s="1519"/>
      <c r="Q331" s="1519"/>
      <c r="R331" s="1519"/>
      <c r="S331" s="3"/>
      <c r="T331" s="3" t="s">
        <v>88</v>
      </c>
      <c r="V331" s="3"/>
      <c r="W331" s="3"/>
      <c r="X331" s="3"/>
      <c r="Y331" s="3"/>
      <c r="AA331" s="1539" t="s">
        <v>2660</v>
      </c>
      <c r="AB331" s="1539"/>
      <c r="AC331" s="1539"/>
      <c r="AD331" s="1539"/>
      <c r="AE331" s="1539"/>
      <c r="AF331" s="1539"/>
      <c r="AG331" s="4" t="s">
        <v>205</v>
      </c>
      <c r="AH331" s="4"/>
      <c r="AI331" s="1519"/>
      <c r="AJ331" s="1519"/>
      <c r="AK331" s="1519"/>
    </row>
    <row r="332" spans="2:37" ht="13.05" customHeight="1">
      <c r="B332" s="3" t="s">
        <v>89</v>
      </c>
      <c r="C332" s="3"/>
      <c r="D332" s="3"/>
      <c r="E332" s="3"/>
      <c r="F332" s="3"/>
      <c r="G332" s="3"/>
      <c r="H332" s="1486" t="s">
        <v>2672</v>
      </c>
      <c r="I332" s="1486"/>
      <c r="J332" s="1486"/>
      <c r="K332" s="1486"/>
      <c r="L332" s="1486"/>
      <c r="M332" s="1486"/>
      <c r="N332" s="4"/>
      <c r="O332" s="4"/>
      <c r="P332" s="35"/>
      <c r="Q332" s="35"/>
      <c r="R332" s="35"/>
      <c r="S332" s="3"/>
      <c r="T332" s="3" t="s">
        <v>89</v>
      </c>
      <c r="V332" s="3"/>
      <c r="W332" s="3"/>
      <c r="X332" s="3"/>
      <c r="Y332" s="3"/>
      <c r="AA332" s="1486"/>
      <c r="AB332" s="1486"/>
      <c r="AC332" s="1486"/>
      <c r="AD332" s="1486"/>
      <c r="AE332" s="1486"/>
      <c r="AF332" s="1486"/>
      <c r="AG332" s="4"/>
      <c r="AH332" s="4"/>
      <c r="AI332" s="35"/>
      <c r="AJ332" s="35"/>
      <c r="AK332" s="35"/>
    </row>
    <row r="333" spans="2:37" ht="13.05" customHeight="1">
      <c r="B333" s="3" t="s">
        <v>76</v>
      </c>
      <c r="C333" s="3"/>
      <c r="D333" s="3"/>
      <c r="E333" s="3"/>
      <c r="F333" s="3"/>
      <c r="G333" s="3"/>
      <c r="H333" s="1370" t="s">
        <v>2673</v>
      </c>
      <c r="I333" s="1370"/>
      <c r="J333" s="1370"/>
      <c r="K333" s="1370"/>
      <c r="L333" s="1370"/>
      <c r="M333" s="1370"/>
      <c r="N333" s="1406"/>
      <c r="O333" s="1406"/>
      <c r="P333" s="1406"/>
      <c r="Q333" s="1406"/>
      <c r="R333" s="1406"/>
      <c r="S333" s="3"/>
      <c r="T333" s="3" t="s">
        <v>76</v>
      </c>
      <c r="V333" s="3"/>
      <c r="W333" s="3"/>
      <c r="X333" s="3"/>
      <c r="Y333" s="3"/>
      <c r="AA333" s="1370" t="s">
        <v>2662</v>
      </c>
      <c r="AB333" s="1370"/>
      <c r="AC333" s="1370"/>
      <c r="AD333" s="1370"/>
      <c r="AE333" s="1370"/>
      <c r="AF333" s="1370"/>
      <c r="AG333" s="1406"/>
      <c r="AH333" s="1406"/>
      <c r="AI333" s="1406"/>
      <c r="AJ333" s="1406"/>
      <c r="AK333" s="1406"/>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328</v>
      </c>
      <c r="C335" s="3"/>
      <c r="D335" s="3"/>
      <c r="E335" s="3"/>
      <c r="F335" s="3"/>
      <c r="H335" s="1406" t="s">
        <v>875</v>
      </c>
      <c r="I335" s="1406"/>
      <c r="J335" s="1406"/>
      <c r="K335" s="1406"/>
      <c r="L335" s="1406"/>
      <c r="M335" s="1406"/>
      <c r="N335" s="1406"/>
      <c r="O335" s="1406"/>
      <c r="P335" s="1406"/>
      <c r="Q335" s="1406"/>
      <c r="R335" s="1406"/>
      <c r="T335" s="205" t="s">
        <v>886</v>
      </c>
      <c r="V335" s="3"/>
      <c r="W335" s="3"/>
      <c r="X335" s="3"/>
      <c r="Y335" s="3"/>
      <c r="AA335" s="1406" t="s">
        <v>2626</v>
      </c>
      <c r="AB335" s="1406"/>
      <c r="AC335" s="1406"/>
      <c r="AD335" s="1406"/>
      <c r="AE335" s="1406"/>
      <c r="AF335" s="1406"/>
      <c r="AG335" s="1406"/>
      <c r="AH335" s="1406"/>
      <c r="AI335" s="1406"/>
      <c r="AJ335" s="1406"/>
      <c r="AK335" s="1406"/>
    </row>
    <row r="336" spans="2:37" ht="13.05" customHeight="1">
      <c r="B336" s="3" t="s">
        <v>471</v>
      </c>
      <c r="C336" s="3"/>
      <c r="D336" s="3"/>
      <c r="E336" s="3"/>
      <c r="F336" s="3"/>
      <c r="H336" s="1370" t="s">
        <v>2675</v>
      </c>
      <c r="I336" s="1370"/>
      <c r="J336" s="1370"/>
      <c r="K336" s="1370"/>
      <c r="L336" s="1370"/>
      <c r="M336" s="1370"/>
      <c r="N336" s="1370"/>
      <c r="O336" s="1370"/>
      <c r="P336" s="1370"/>
      <c r="Q336" s="1370"/>
      <c r="R336" s="1370"/>
      <c r="T336" s="3" t="s">
        <v>471</v>
      </c>
      <c r="V336" s="3"/>
      <c r="W336" s="3"/>
      <c r="X336" s="3"/>
      <c r="Y336" s="3"/>
      <c r="AA336" s="1370" t="s">
        <v>2620</v>
      </c>
      <c r="AB336" s="1370"/>
      <c r="AC336" s="1370"/>
      <c r="AD336" s="1370"/>
      <c r="AE336" s="1370"/>
      <c r="AF336" s="1370"/>
      <c r="AG336" s="1370"/>
      <c r="AH336" s="1370"/>
      <c r="AI336" s="1370"/>
      <c r="AJ336" s="1370"/>
      <c r="AK336" s="1370"/>
    </row>
    <row r="337" spans="1:66" ht="13.05" customHeight="1">
      <c r="B337" s="3" t="s">
        <v>75</v>
      </c>
      <c r="C337" s="3"/>
      <c r="D337" s="3"/>
      <c r="E337" s="3"/>
      <c r="F337" s="3"/>
      <c r="H337" s="1370" t="s">
        <v>2676</v>
      </c>
      <c r="I337" s="1370"/>
      <c r="J337" s="1370"/>
      <c r="K337" s="1370"/>
      <c r="L337" s="1370"/>
      <c r="M337" s="1370"/>
      <c r="N337" s="1370"/>
      <c r="O337" s="1370"/>
      <c r="P337" s="1370"/>
      <c r="Q337" s="1370"/>
      <c r="R337" s="1370"/>
      <c r="T337" s="3" t="s">
        <v>75</v>
      </c>
      <c r="V337" s="3"/>
      <c r="W337" s="3"/>
      <c r="X337" s="3"/>
      <c r="Y337" s="3"/>
      <c r="AA337" s="1370" t="s">
        <v>2636</v>
      </c>
      <c r="AB337" s="1370"/>
      <c r="AC337" s="1370"/>
      <c r="AD337" s="1370"/>
      <c r="AE337" s="1370"/>
      <c r="AF337" s="1370"/>
      <c r="AG337" s="1370"/>
      <c r="AH337" s="1370"/>
      <c r="AI337" s="1370"/>
      <c r="AJ337" s="1370"/>
      <c r="AK337" s="1370"/>
    </row>
    <row r="338" spans="1:66" ht="13.05" customHeight="1">
      <c r="B338" s="3" t="s">
        <v>87</v>
      </c>
      <c r="C338" s="3"/>
      <c r="D338" s="3"/>
      <c r="E338" s="3"/>
      <c r="F338" s="3"/>
      <c r="G338" s="3"/>
      <c r="H338" s="1370" t="s">
        <v>2677</v>
      </c>
      <c r="I338" s="1370"/>
      <c r="J338" s="1370"/>
      <c r="K338" s="1370"/>
      <c r="L338" s="1370"/>
      <c r="M338" s="1370"/>
      <c r="N338" s="1370"/>
      <c r="O338" s="1370"/>
      <c r="P338" s="1370"/>
      <c r="Q338" s="1370"/>
      <c r="R338" s="1370"/>
      <c r="T338" s="3" t="s">
        <v>87</v>
      </c>
      <c r="V338" s="3"/>
      <c r="W338" s="3"/>
      <c r="X338" s="3"/>
      <c r="Y338" s="3"/>
      <c r="AA338" s="1370" t="s">
        <v>2679</v>
      </c>
      <c r="AB338" s="1370"/>
      <c r="AC338" s="1370"/>
      <c r="AD338" s="1370"/>
      <c r="AE338" s="1370"/>
      <c r="AF338" s="1370"/>
      <c r="AG338" s="1370"/>
      <c r="AH338" s="1370"/>
      <c r="AI338" s="1370"/>
      <c r="AJ338" s="1370"/>
      <c r="AK338" s="1370"/>
    </row>
    <row r="339" spans="1:66" ht="13.05" customHeight="1">
      <c r="B339" s="3" t="s">
        <v>88</v>
      </c>
      <c r="C339" s="3"/>
      <c r="D339" s="3"/>
      <c r="E339" s="3"/>
      <c r="F339" s="3"/>
      <c r="G339" s="3"/>
      <c r="H339" s="1539">
        <v>2138088808</v>
      </c>
      <c r="I339" s="1539"/>
      <c r="J339" s="1539"/>
      <c r="K339" s="1539"/>
      <c r="L339" s="1539"/>
      <c r="M339" s="1539"/>
      <c r="N339" s="4" t="s">
        <v>205</v>
      </c>
      <c r="O339" s="4"/>
      <c r="P339" s="1519"/>
      <c r="Q339" s="1519"/>
      <c r="R339" s="1519"/>
      <c r="S339" s="3"/>
      <c r="T339" s="3" t="s">
        <v>88</v>
      </c>
      <c r="V339" s="3"/>
      <c r="W339" s="3"/>
      <c r="X339" s="3"/>
      <c r="Y339" s="3"/>
      <c r="AA339" s="1539" t="s">
        <v>2680</v>
      </c>
      <c r="AB339" s="1539"/>
      <c r="AC339" s="1539"/>
      <c r="AD339" s="1539"/>
      <c r="AE339" s="1539"/>
      <c r="AF339" s="1539"/>
      <c r="AG339" s="4" t="s">
        <v>205</v>
      </c>
      <c r="AH339" s="4"/>
      <c r="AI339" s="1519"/>
      <c r="AJ339" s="1519"/>
      <c r="AK339" s="1519"/>
    </row>
    <row r="340" spans="1:66" ht="13.05" customHeight="1">
      <c r="B340" s="3" t="s">
        <v>89</v>
      </c>
      <c r="C340" s="3"/>
      <c r="D340" s="3"/>
      <c r="E340" s="3"/>
      <c r="F340" s="3"/>
      <c r="G340" s="3"/>
      <c r="H340" s="1486"/>
      <c r="I340" s="1486"/>
      <c r="J340" s="1486"/>
      <c r="K340" s="1486"/>
      <c r="L340" s="1486"/>
      <c r="M340" s="1486"/>
      <c r="N340" s="4"/>
      <c r="O340" s="4"/>
      <c r="P340" s="35"/>
      <c r="Q340" s="35"/>
      <c r="R340" s="35"/>
      <c r="S340" s="3"/>
      <c r="T340" s="3" t="s">
        <v>89</v>
      </c>
      <c r="V340" s="3"/>
      <c r="W340" s="3"/>
      <c r="X340" s="3"/>
      <c r="Y340" s="3"/>
      <c r="AA340" s="1486"/>
      <c r="AB340" s="1486"/>
      <c r="AC340" s="1486"/>
      <c r="AD340" s="1486"/>
      <c r="AE340" s="1486"/>
      <c r="AF340" s="1486"/>
      <c r="AG340" s="4"/>
      <c r="AH340" s="4"/>
      <c r="AI340" s="35"/>
      <c r="AJ340" s="35"/>
      <c r="AK340" s="35"/>
    </row>
    <row r="341" spans="1:66" ht="13.05" customHeight="1">
      <c r="B341" s="3" t="s">
        <v>76</v>
      </c>
      <c r="C341" s="3"/>
      <c r="D341" s="3"/>
      <c r="E341" s="3"/>
      <c r="F341" s="3"/>
      <c r="G341" s="3"/>
      <c r="H341" s="1370" t="s">
        <v>2678</v>
      </c>
      <c r="I341" s="1370"/>
      <c r="J341" s="1370"/>
      <c r="K341" s="1370"/>
      <c r="L341" s="1370"/>
      <c r="M341" s="1370"/>
      <c r="N341" s="1406"/>
      <c r="O341" s="1406"/>
      <c r="P341" s="1406"/>
      <c r="Q341" s="1406"/>
      <c r="R341" s="1406"/>
      <c r="S341" s="3"/>
      <c r="T341" s="3" t="s">
        <v>76</v>
      </c>
      <c r="V341" s="3"/>
      <c r="W341" s="3"/>
      <c r="X341" s="3"/>
      <c r="Y341" s="3"/>
      <c r="AA341" s="1370" t="s">
        <v>2681</v>
      </c>
      <c r="AB341" s="1370"/>
      <c r="AC341" s="1370"/>
      <c r="AD341" s="1370"/>
      <c r="AE341" s="1370"/>
      <c r="AF341" s="1370"/>
      <c r="AG341" s="1406"/>
      <c r="AH341" s="1406"/>
      <c r="AI341" s="1406"/>
      <c r="AJ341" s="1406"/>
      <c r="AK341" s="1406"/>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5" t="s">
        <v>887</v>
      </c>
      <c r="P343" s="1406"/>
      <c r="Q343" s="1406"/>
      <c r="R343" s="1406"/>
      <c r="S343" s="1406"/>
      <c r="T343" s="1406"/>
      <c r="U343" s="1406"/>
      <c r="V343" s="1406"/>
      <c r="W343" s="1406"/>
      <c r="X343" s="1406"/>
      <c r="Y343" s="1406"/>
      <c r="Z343" s="1406"/>
      <c r="AA343" s="1406"/>
      <c r="AB343" s="1406"/>
      <c r="AC343" s="1406"/>
      <c r="AD343" s="1406"/>
      <c r="AE343" s="1406"/>
      <c r="BN343" t="s">
        <v>669</v>
      </c>
    </row>
    <row r="344" spans="1:66" ht="13.05" customHeight="1">
      <c r="B344" s="4"/>
      <c r="C344" s="4"/>
      <c r="D344" s="4"/>
      <c r="E344" s="4"/>
      <c r="F344" s="4"/>
      <c r="I344" s="4" t="s">
        <v>471</v>
      </c>
      <c r="P344" s="1370"/>
      <c r="Q344" s="1370"/>
      <c r="R344" s="1370"/>
      <c r="S344" s="1370"/>
      <c r="T344" s="1370"/>
      <c r="U344" s="1370"/>
      <c r="V344" s="1370"/>
      <c r="W344" s="1370"/>
      <c r="X344" s="1370"/>
      <c r="Y344" s="1370"/>
      <c r="Z344" s="1370"/>
      <c r="AA344" s="1370"/>
      <c r="AB344" s="1370"/>
      <c r="AC344" s="1370"/>
      <c r="AD344" s="1370"/>
      <c r="AE344" s="1370"/>
      <c r="BN344" t="s">
        <v>545</v>
      </c>
    </row>
    <row r="345" spans="1:66" ht="13.05"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3.05"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3.05" customHeight="1">
      <c r="B347" s="4"/>
      <c r="C347" s="4"/>
      <c r="D347" s="4"/>
      <c r="E347" s="4"/>
      <c r="F347" s="4"/>
      <c r="G347" s="4"/>
      <c r="H347" s="303"/>
      <c r="I347" s="4" t="s">
        <v>88</v>
      </c>
      <c r="P347" s="1486"/>
      <c r="Q347" s="1486"/>
      <c r="R347" s="1486"/>
      <c r="S347" s="1486"/>
      <c r="T347" s="1486"/>
      <c r="U347" s="1486"/>
      <c r="V347" s="1486"/>
      <c r="W347" s="1486"/>
      <c r="X347" s="1486"/>
      <c r="Y347" s="1486"/>
      <c r="Z347" s="1486"/>
      <c r="AA347" s="4" t="s">
        <v>205</v>
      </c>
      <c r="AB347" s="4"/>
      <c r="AC347" s="1470"/>
      <c r="AD347" s="1470"/>
      <c r="AE347" s="1470"/>
      <c r="AF347" s="303"/>
      <c r="AG347" s="4"/>
      <c r="AH347" s="4"/>
      <c r="AI347" s="4"/>
      <c r="AJ347" s="4"/>
      <c r="AK347" s="4"/>
    </row>
    <row r="348" spans="1:66" ht="13.05" customHeight="1">
      <c r="B348" s="4"/>
      <c r="C348" s="4"/>
      <c r="D348" s="4"/>
      <c r="E348" s="4"/>
      <c r="F348" s="4"/>
      <c r="G348" s="4"/>
      <c r="H348" s="303"/>
      <c r="I348" s="4" t="s">
        <v>89</v>
      </c>
      <c r="P348" s="1486"/>
      <c r="Q348" s="1486"/>
      <c r="R348" s="1486"/>
      <c r="S348" s="1486"/>
      <c r="T348" s="1486"/>
      <c r="U348" s="1486"/>
      <c r="V348" s="1486"/>
      <c r="W348" s="1486"/>
      <c r="X348" s="1486"/>
      <c r="Y348" s="1486"/>
      <c r="Z348" s="1486"/>
      <c r="AF348" s="303"/>
      <c r="AG348" s="4"/>
      <c r="AH348" s="4"/>
      <c r="AI348" s="35"/>
      <c r="AJ348" s="35"/>
      <c r="AK348" s="35"/>
    </row>
    <row r="349" spans="1:66" ht="13.05"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05" customHeight="1">
      <c r="T350" s="8"/>
      <c r="U350" s="8"/>
      <c r="V350" s="8"/>
      <c r="W350" s="8"/>
      <c r="X350" s="8"/>
      <c r="Y350" s="8"/>
      <c r="Z350" s="8"/>
      <c r="AU350" s="95"/>
      <c r="AV350" s="95"/>
      <c r="AW350" s="95"/>
      <c r="AX350" s="95"/>
      <c r="AY350" s="95"/>
    </row>
    <row r="351" spans="1:66" ht="13.05" customHeight="1">
      <c r="A351" s="1531" t="s">
        <v>542</v>
      </c>
      <c r="B351" s="1531"/>
      <c r="C351" s="1531"/>
      <c r="D351" s="1531"/>
      <c r="E351" s="1531"/>
      <c r="F351" s="1531"/>
      <c r="G351" s="1531"/>
      <c r="H351" s="1531"/>
      <c r="I351" s="1531"/>
      <c r="J351" s="1531"/>
      <c r="K351" s="1531"/>
      <c r="L351" s="1531"/>
      <c r="M351" s="1531"/>
      <c r="N351" s="1531"/>
      <c r="O351" s="1531"/>
      <c r="P351" s="1531"/>
      <c r="Q351" s="1531"/>
      <c r="R351" s="1531"/>
      <c r="S351" s="1531"/>
      <c r="T351" s="1531"/>
      <c r="U351" s="1531"/>
      <c r="V351" s="1531"/>
      <c r="W351" s="1531"/>
      <c r="X351" s="1531"/>
      <c r="Y351" s="1531"/>
      <c r="Z351" s="1531"/>
      <c r="AA351" s="1531"/>
      <c r="AB351" s="1531"/>
      <c r="AC351" s="1531"/>
      <c r="AD351" s="1531"/>
      <c r="AE351" s="1531"/>
      <c r="AF351" s="1531"/>
      <c r="AG351" s="1531"/>
      <c r="AH351" s="1531"/>
      <c r="AI351" s="1531"/>
      <c r="AJ351" s="1531"/>
      <c r="AK351" s="1531"/>
      <c r="AL351" s="1531"/>
      <c r="AM351" s="1531"/>
      <c r="AN351" s="1531"/>
      <c r="AO351" s="1531"/>
      <c r="AP351" s="1531"/>
      <c r="AQ351" s="1531"/>
      <c r="AR351" s="1531"/>
      <c r="AS351" s="1531"/>
      <c r="AT351" s="1531"/>
      <c r="AU351" s="95"/>
      <c r="AV351" s="95"/>
      <c r="AW351" s="95"/>
      <c r="AX351" s="95"/>
      <c r="AY351" s="95"/>
    </row>
    <row r="352" spans="1:66" ht="13.05" customHeight="1">
      <c r="A352" s="1531"/>
      <c r="B352" s="1531"/>
      <c r="C352" s="1531"/>
      <c r="D352" s="1531"/>
      <c r="E352" s="1531"/>
      <c r="F352" s="1531"/>
      <c r="G352" s="1531"/>
      <c r="H352" s="1531"/>
      <c r="I352" s="1531"/>
      <c r="J352" s="1531"/>
      <c r="K352" s="1531"/>
      <c r="L352" s="1531"/>
      <c r="M352" s="1531"/>
      <c r="N352" s="1531"/>
      <c r="O352" s="1531"/>
      <c r="P352" s="1531"/>
      <c r="Q352" s="1531"/>
      <c r="R352" s="1531"/>
      <c r="S352" s="1531"/>
      <c r="T352" s="1531"/>
      <c r="U352" s="1531"/>
      <c r="V352" s="1531"/>
      <c r="W352" s="1531"/>
      <c r="X352" s="1531"/>
      <c r="Y352" s="1531"/>
      <c r="Z352" s="1531"/>
      <c r="AA352" s="1531"/>
      <c r="AB352" s="1531"/>
      <c r="AC352" s="1531"/>
      <c r="AD352" s="1531"/>
      <c r="AE352" s="1531"/>
      <c r="AF352" s="1531"/>
      <c r="AG352" s="1531"/>
      <c r="AH352" s="1531"/>
      <c r="AI352" s="1531"/>
      <c r="AJ352" s="1531"/>
      <c r="AK352" s="1531"/>
      <c r="AL352" s="1531"/>
      <c r="AM352" s="1531"/>
      <c r="AN352" s="1531"/>
      <c r="AO352" s="1531"/>
      <c r="AP352" s="1531"/>
      <c r="AQ352" s="1531"/>
      <c r="AR352" s="1531"/>
      <c r="AS352" s="1531"/>
      <c r="AT352" s="1531"/>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318</v>
      </c>
      <c r="B354" s="2"/>
      <c r="C354" s="2" t="s">
        <v>782</v>
      </c>
    </row>
    <row r="355" spans="1:46" ht="13.05" customHeight="1">
      <c r="D355" s="3" t="s">
        <v>2100</v>
      </c>
      <c r="M355" s="1414" t="s">
        <v>591</v>
      </c>
      <c r="N355" s="1414"/>
      <c r="P355" t="s">
        <v>1650</v>
      </c>
      <c r="AJ355" s="1414" t="s">
        <v>669</v>
      </c>
      <c r="AK355" s="1414"/>
    </row>
    <row r="356" spans="1:46" ht="13.05" customHeight="1">
      <c r="D356" s="3" t="s">
        <v>1639</v>
      </c>
      <c r="M356" s="1414" t="s">
        <v>591</v>
      </c>
      <c r="N356" s="1414"/>
      <c r="P356" s="3" t="s">
        <v>1719</v>
      </c>
      <c r="AJ356" s="1381">
        <v>0</v>
      </c>
      <c r="AK356" s="1381"/>
    </row>
    <row r="357" spans="1:46" ht="13.05" customHeight="1">
      <c r="D357" s="3" t="s">
        <v>704</v>
      </c>
      <c r="M357" s="1414" t="s">
        <v>591</v>
      </c>
      <c r="N357" s="1414"/>
      <c r="P357" t="s">
        <v>1649</v>
      </c>
      <c r="AJ357" s="1414" t="s">
        <v>545</v>
      </c>
      <c r="AK357" s="1414"/>
    </row>
    <row r="358" spans="1:46" ht="13.05" customHeight="1">
      <c r="D358" s="3" t="s">
        <v>705</v>
      </c>
      <c r="M358" s="1414" t="s">
        <v>545</v>
      </c>
      <c r="N358" s="1414"/>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414" t="s">
        <v>545</v>
      </c>
      <c r="O363" s="1414"/>
      <c r="P363" s="40"/>
      <c r="Q363" s="40"/>
      <c r="R363" s="40"/>
      <c r="S363" s="40"/>
      <c r="T363" s="40"/>
      <c r="U363" s="40"/>
      <c r="V363" s="40"/>
      <c r="W363" s="40"/>
      <c r="X363" s="40"/>
      <c r="Y363" s="40"/>
      <c r="Z363" s="40"/>
      <c r="AC363" s="40"/>
      <c r="AD363" s="40"/>
      <c r="AE363" s="40"/>
    </row>
    <row r="364" spans="1:46" ht="13.05" customHeight="1">
      <c r="E364" t="s">
        <v>369</v>
      </c>
      <c r="Y364" s="1414" t="s">
        <v>591</v>
      </c>
      <c r="Z364" s="1414"/>
    </row>
    <row r="365" spans="1:46" ht="13.05" customHeight="1">
      <c r="D365" s="4" t="s">
        <v>978</v>
      </c>
      <c r="Q365" s="1406" t="s">
        <v>2682</v>
      </c>
      <c r="R365" s="1406"/>
      <c r="S365" s="1406"/>
      <c r="T365" s="1406"/>
      <c r="U365" s="1406"/>
      <c r="V365" s="1406"/>
      <c r="W365" s="1406"/>
      <c r="X365" s="1406"/>
      <c r="Y365" s="1406"/>
      <c r="Z365" s="1406"/>
      <c r="AA365" s="1406"/>
      <c r="AB365" s="1406"/>
      <c r="AC365" s="1406"/>
      <c r="AD365" s="1406"/>
      <c r="AE365" s="1406"/>
      <c r="AF365" s="1406"/>
      <c r="AG365" s="1406"/>
    </row>
    <row r="366" spans="1:46" ht="13.0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187</v>
      </c>
      <c r="E367" s="40"/>
      <c r="F367" s="40"/>
      <c r="G367" s="40"/>
      <c r="H367" s="40"/>
      <c r="I367" s="40"/>
      <c r="J367" s="1414" t="s">
        <v>545</v>
      </c>
      <c r="K367" s="1414"/>
      <c r="L367" s="40"/>
      <c r="M367" s="40"/>
      <c r="N367" s="40"/>
      <c r="O367" s="40"/>
      <c r="P367" s="40"/>
      <c r="Q367" s="40"/>
      <c r="R367" s="40"/>
      <c r="S367" s="40"/>
      <c r="T367" s="40"/>
      <c r="U367" s="40"/>
      <c r="V367" s="40"/>
      <c r="W367" s="40"/>
      <c r="X367" s="40"/>
      <c r="Y367" s="40"/>
      <c r="Z367" s="40"/>
      <c r="AC367" s="40"/>
      <c r="AD367" s="40"/>
      <c r="AE367" s="40"/>
    </row>
    <row r="368" spans="1:46" ht="13.05" customHeight="1">
      <c r="E368" s="1541" t="s">
        <v>706</v>
      </c>
      <c r="F368" s="1541"/>
      <c r="G368" s="1541"/>
      <c r="H368" s="1541"/>
      <c r="I368" s="1541"/>
      <c r="J368" s="1541"/>
      <c r="K368" s="1541"/>
      <c r="L368" s="1541"/>
      <c r="M368" s="1541"/>
      <c r="N368" s="1541"/>
      <c r="O368" s="1541"/>
      <c r="P368" s="1541"/>
      <c r="Q368" s="1541"/>
      <c r="R368" s="1541"/>
      <c r="S368" s="1541"/>
      <c r="T368" s="1541"/>
      <c r="U368" s="1541"/>
      <c r="V368" s="1541"/>
      <c r="W368" s="1541"/>
      <c r="X368" s="1541"/>
      <c r="Y368" s="1541"/>
      <c r="Z368" s="1541"/>
      <c r="AA368" s="1541"/>
      <c r="AB368" s="1541"/>
      <c r="AC368" s="1541"/>
      <c r="AD368" s="1541"/>
      <c r="AE368" s="1541"/>
      <c r="AF368" s="1541"/>
      <c r="AG368" s="1541"/>
      <c r="AH368" s="1541"/>
    </row>
    <row r="369" spans="1:34" ht="13.05" customHeight="1">
      <c r="E369" s="1541"/>
      <c r="F369" s="1541"/>
      <c r="G369" s="1541"/>
      <c r="H369" s="1541"/>
      <c r="I369" s="1541"/>
      <c r="J369" s="1541"/>
      <c r="K369" s="1541"/>
      <c r="L369" s="1541"/>
      <c r="M369" s="1541"/>
      <c r="N369" s="1541"/>
      <c r="O369" s="1541"/>
      <c r="P369" s="1541"/>
      <c r="Q369" s="1541"/>
      <c r="R369" s="1541"/>
      <c r="S369" s="1541"/>
      <c r="T369" s="1541"/>
      <c r="U369" s="1541"/>
      <c r="V369" s="1541"/>
      <c r="W369" s="1541"/>
      <c r="X369" s="1541"/>
      <c r="Y369" s="1541"/>
      <c r="Z369" s="1541"/>
      <c r="AA369" s="1541"/>
      <c r="AB369" s="1541"/>
      <c r="AC369" s="1541"/>
      <c r="AD369" s="1541"/>
      <c r="AE369" s="1541"/>
      <c r="AF369" s="1541"/>
      <c r="AG369" s="1541"/>
      <c r="AH369" s="1541"/>
    </row>
    <row r="370" spans="1:34" ht="13.05" customHeight="1">
      <c r="E370" s="4" t="s">
        <v>448</v>
      </c>
      <c r="F370" s="4"/>
      <c r="G370" s="4"/>
      <c r="H370" s="4"/>
      <c r="I370" s="4"/>
      <c r="J370" s="4"/>
      <c r="K370" s="4"/>
      <c r="L370" s="4"/>
      <c r="N370" s="1389" t="s">
        <v>2683</v>
      </c>
      <c r="O370" s="1389"/>
      <c r="P370" s="1389"/>
      <c r="Q370" s="1389"/>
      <c r="R370" s="4"/>
      <c r="U370" s="4" t="s">
        <v>449</v>
      </c>
      <c r="V370" s="4"/>
      <c r="W370" s="4"/>
      <c r="X370" s="4"/>
      <c r="Y370" s="4"/>
      <c r="Z370" s="4"/>
      <c r="AA370" s="4"/>
      <c r="AB370" s="4"/>
      <c r="AC370" s="1389">
        <v>1</v>
      </c>
      <c r="AD370" s="1389"/>
      <c r="AE370" s="1389"/>
      <c r="AF370" s="1389"/>
    </row>
    <row r="371" spans="1:34" ht="13.05" customHeight="1">
      <c r="E371" s="4" t="s">
        <v>450</v>
      </c>
      <c r="F371" s="4"/>
      <c r="G371" s="4"/>
      <c r="H371" s="4"/>
      <c r="I371" s="4"/>
      <c r="J371" s="4"/>
      <c r="K371" s="4"/>
      <c r="L371" s="4"/>
      <c r="N371" s="1389">
        <v>1</v>
      </c>
      <c r="O371" s="1389"/>
      <c r="P371" s="1389"/>
      <c r="Q371" s="1389"/>
      <c r="R371" s="4"/>
      <c r="U371" s="4" t="s">
        <v>0</v>
      </c>
      <c r="V371" s="4"/>
      <c r="W371" s="4"/>
      <c r="X371" s="4"/>
      <c r="Y371" s="4"/>
      <c r="Z371" s="4"/>
      <c r="AA371" s="4"/>
      <c r="AB371" s="4"/>
      <c r="AC371" s="1389">
        <v>64</v>
      </c>
      <c r="AD371" s="1389"/>
      <c r="AE371" s="1389"/>
      <c r="AF371" s="1389"/>
    </row>
    <row r="372" spans="1:34" ht="13.05" customHeight="1">
      <c r="E372" s="4" t="s">
        <v>1</v>
      </c>
      <c r="F372" s="4"/>
      <c r="G372" s="4"/>
      <c r="H372" s="4"/>
      <c r="I372" s="4"/>
      <c r="J372" s="4"/>
      <c r="K372" s="4"/>
      <c r="L372" s="4"/>
      <c r="N372" s="1389">
        <v>4</v>
      </c>
      <c r="O372" s="1389"/>
      <c r="P372" s="1389"/>
      <c r="Q372" s="1389"/>
      <c r="R372" s="4"/>
      <c r="V372" s="4"/>
      <c r="W372" s="4"/>
      <c r="X372" s="4"/>
      <c r="Y372" s="4"/>
      <c r="Z372" s="4"/>
      <c r="AA372" s="4"/>
      <c r="AB372" s="4"/>
    </row>
    <row r="373" spans="1:34" ht="13.05" customHeight="1">
      <c r="E373" s="4" t="s">
        <v>2</v>
      </c>
      <c r="F373" s="4"/>
      <c r="G373" s="4"/>
      <c r="H373" s="4"/>
      <c r="I373" s="4"/>
      <c r="J373" s="4"/>
      <c r="K373" s="4"/>
      <c r="L373" s="4"/>
      <c r="N373" s="1520" t="s">
        <v>2684</v>
      </c>
      <c r="O373" s="1520"/>
      <c r="P373" s="1520"/>
      <c r="Q373" s="1520"/>
      <c r="R373" s="1520"/>
      <c r="S373" s="1520"/>
      <c r="T373" s="1520"/>
      <c r="U373" s="1520"/>
      <c r="V373" s="1520"/>
      <c r="W373" s="1520"/>
      <c r="X373" s="1520"/>
      <c r="Y373" s="1520"/>
      <c r="Z373" s="1520"/>
      <c r="AA373" s="1520"/>
      <c r="AB373" s="1520"/>
      <c r="AC373" s="1520"/>
      <c r="AD373" s="1520"/>
      <c r="AE373" s="1520"/>
      <c r="AF373" s="1520"/>
    </row>
    <row r="374" spans="1:34" ht="13.05" customHeight="1">
      <c r="E374" s="4"/>
      <c r="F374" s="4"/>
      <c r="G374" s="4"/>
      <c r="H374" s="4"/>
      <c r="I374" s="4"/>
      <c r="J374" s="4"/>
      <c r="K374" s="4"/>
      <c r="L374" s="4"/>
      <c r="N374" s="1521"/>
      <c r="O374" s="1521"/>
      <c r="P374" s="1521"/>
      <c r="Q374" s="1521"/>
      <c r="R374" s="1521"/>
      <c r="S374" s="1521"/>
      <c r="T374" s="1521"/>
      <c r="U374" s="1521"/>
      <c r="V374" s="1521"/>
      <c r="W374" s="1521"/>
      <c r="X374" s="1521"/>
      <c r="Y374" s="1521"/>
      <c r="Z374" s="1521"/>
      <c r="AA374" s="1521"/>
      <c r="AB374" s="1521"/>
      <c r="AC374" s="1521"/>
      <c r="AD374" s="1521"/>
      <c r="AE374" s="1521"/>
      <c r="AF374" s="1521"/>
    </row>
    <row r="375" spans="1:34" ht="13.05" customHeight="1">
      <c r="C375" s="513"/>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2086</v>
      </c>
      <c r="F377" s="4"/>
      <c r="G377" s="4"/>
      <c r="H377" s="4"/>
      <c r="I377" s="4"/>
      <c r="J377" s="4"/>
      <c r="K377" s="4"/>
      <c r="L377" s="4"/>
      <c r="N377" t="s">
        <v>2081</v>
      </c>
      <c r="R377" s="27" t="s">
        <v>304</v>
      </c>
      <c r="S377" s="1442"/>
      <c r="T377" s="1442"/>
      <c r="U377" s="1" t="s">
        <v>305</v>
      </c>
      <c r="V377" s="1442"/>
      <c r="W377" s="1442"/>
      <c r="Y377" t="s">
        <v>2081</v>
      </c>
      <c r="AC377" s="27" t="s">
        <v>304</v>
      </c>
      <c r="AD377" s="1442"/>
      <c r="AE377" s="1442"/>
      <c r="AF377" s="1" t="s">
        <v>305</v>
      </c>
      <c r="AG377" s="1442"/>
      <c r="AH377" s="1442"/>
    </row>
    <row r="378" spans="1:34" ht="13.05" customHeight="1">
      <c r="E378" s="4" t="s">
        <v>987</v>
      </c>
      <c r="F378" s="4"/>
      <c r="G378" s="4"/>
      <c r="H378" s="4"/>
      <c r="I378" s="4"/>
      <c r="J378" s="4"/>
      <c r="K378" s="4"/>
      <c r="L378" s="4"/>
      <c r="N378" s="1442"/>
      <c r="O378" s="1442"/>
      <c r="P378" s="1442"/>
    </row>
    <row r="379" spans="1:34" ht="13.05" customHeight="1">
      <c r="E379" s="205" t="s">
        <v>2087</v>
      </c>
      <c r="F379" s="4"/>
      <c r="G379" s="4"/>
      <c r="H379" s="4"/>
      <c r="I379" s="4"/>
      <c r="J379" s="4"/>
      <c r="K379" s="4"/>
      <c r="L379" s="4"/>
      <c r="AG379" s="1445" t="s">
        <v>591</v>
      </c>
      <c r="AH379" s="1445"/>
    </row>
    <row r="380" spans="1:34" ht="13.05" customHeight="1">
      <c r="E380" s="4"/>
      <c r="F380" s="4"/>
      <c r="G380" s="4" t="s">
        <v>2088</v>
      </c>
      <c r="H380" s="4"/>
      <c r="I380" s="4"/>
      <c r="J380" s="4"/>
      <c r="K380" s="4"/>
      <c r="L380" s="4"/>
      <c r="AG380" s="1445" t="s">
        <v>591</v>
      </c>
      <c r="AH380" s="1445"/>
    </row>
    <row r="381" spans="1:34" ht="13.05" customHeight="1">
      <c r="E381" s="4"/>
      <c r="F381" s="4"/>
      <c r="G381" s="321" t="s">
        <v>988</v>
      </c>
      <c r="H381" s="4"/>
      <c r="I381" s="4"/>
      <c r="J381" s="4"/>
      <c r="K381" s="4"/>
      <c r="L381" s="4"/>
      <c r="V381" s="1414" t="s">
        <v>591</v>
      </c>
      <c r="W381" s="1414"/>
      <c r="Y381" s="22" t="s">
        <v>980</v>
      </c>
    </row>
    <row r="382" spans="1:34" ht="13.05" customHeight="1">
      <c r="E382" s="4" t="s">
        <v>981</v>
      </c>
      <c r="F382" s="4"/>
      <c r="G382" s="4"/>
      <c r="H382" s="4"/>
      <c r="I382" s="4"/>
      <c r="J382" s="4"/>
      <c r="K382" s="4"/>
      <c r="L382" s="4"/>
      <c r="V382" s="1414" t="s">
        <v>591</v>
      </c>
      <c r="W382" s="1414"/>
      <c r="Y382" s="4" t="s">
        <v>982</v>
      </c>
    </row>
    <row r="383" spans="1:34" ht="13.05" customHeight="1"/>
    <row r="384" spans="1:34" ht="13.05" customHeight="1">
      <c r="A384" s="2" t="s">
        <v>78</v>
      </c>
      <c r="B384" s="2"/>
    </row>
    <row r="385" spans="4:36" ht="13.05" customHeight="1">
      <c r="D385" t="s">
        <v>427</v>
      </c>
      <c r="J385" s="1406" t="s">
        <v>2685</v>
      </c>
      <c r="K385" s="1406"/>
      <c r="L385" s="1406"/>
      <c r="M385" s="1406"/>
      <c r="N385" s="1406"/>
      <c r="O385" s="1406"/>
      <c r="P385" s="1406"/>
      <c r="Q385" s="1406"/>
      <c r="R385" s="1406"/>
      <c r="S385" s="1406"/>
      <c r="T385" s="1406"/>
      <c r="U385" s="1406"/>
      <c r="V385" s="8" t="s">
        <v>83</v>
      </c>
      <c r="W385" s="8"/>
      <c r="X385" s="8"/>
      <c r="Y385" s="8"/>
      <c r="Z385" s="8"/>
      <c r="AA385" s="8"/>
      <c r="AB385" s="8"/>
      <c r="AC385" s="1406" t="s">
        <v>2686</v>
      </c>
      <c r="AD385" s="1406"/>
      <c r="AE385" s="1406"/>
      <c r="AF385" s="1406"/>
      <c r="AG385" s="1406"/>
      <c r="AH385" s="1406"/>
      <c r="AI385" s="1406"/>
      <c r="AJ385" s="1406"/>
    </row>
    <row r="386" spans="4:36" ht="13.05" customHeight="1">
      <c r="D386" s="3" t="s">
        <v>1182</v>
      </c>
      <c r="J386" s="1370" t="s">
        <v>2686</v>
      </c>
      <c r="K386" s="1370"/>
      <c r="L386" s="1370"/>
      <c r="M386" s="1370"/>
      <c r="N386" s="1370"/>
      <c r="O386" s="1370"/>
      <c r="P386" s="1370"/>
      <c r="Q386" s="1370"/>
      <c r="R386" s="1370"/>
      <c r="S386" s="1370"/>
      <c r="T386" s="1370"/>
      <c r="U386" s="1370"/>
      <c r="V386" s="3" t="s">
        <v>1182</v>
      </c>
      <c r="W386" s="8"/>
      <c r="X386" s="8"/>
      <c r="Y386" s="8"/>
      <c r="Z386" s="8"/>
      <c r="AA386" s="8"/>
      <c r="AB386" s="8"/>
      <c r="AC386" s="1406"/>
      <c r="AD386" s="1406"/>
      <c r="AE386" s="1406"/>
      <c r="AF386" s="1406"/>
      <c r="AG386" s="1406"/>
      <c r="AH386" s="1406"/>
      <c r="AI386" s="1406"/>
      <c r="AJ386" s="1406"/>
    </row>
    <row r="387" spans="4:36" ht="13.05" customHeight="1">
      <c r="D387" s="3" t="s">
        <v>441</v>
      </c>
      <c r="J387" s="1370" t="s">
        <v>2687</v>
      </c>
      <c r="K387" s="1370"/>
      <c r="L387" s="1370"/>
      <c r="M387" s="1370"/>
      <c r="N387" s="1370"/>
      <c r="O387" s="1370"/>
      <c r="P387" s="1370"/>
      <c r="Q387" s="1370"/>
      <c r="R387" s="1370"/>
      <c r="S387" s="1370"/>
      <c r="T387" s="1370"/>
      <c r="U387" s="1370"/>
      <c r="V387" s="3" t="s">
        <v>441</v>
      </c>
      <c r="W387" s="8"/>
      <c r="X387" s="8"/>
      <c r="Y387" s="8"/>
      <c r="Z387" s="8"/>
      <c r="AA387" s="8"/>
      <c r="AB387" s="8"/>
      <c r="AC387" s="1406"/>
      <c r="AD387" s="1406"/>
      <c r="AE387" s="1406"/>
      <c r="AF387" s="1406"/>
      <c r="AG387" s="1406"/>
      <c r="AH387" s="1406"/>
      <c r="AI387" s="1406"/>
      <c r="AJ387" s="1406"/>
    </row>
    <row r="388" spans="4:36" ht="13.05" customHeight="1">
      <c r="D388" t="s">
        <v>1178</v>
      </c>
      <c r="J388" s="1426" t="s">
        <v>2688</v>
      </c>
      <c r="K388" s="1426"/>
      <c r="L388" s="1426"/>
      <c r="M388" s="1426"/>
      <c r="N388" s="1426"/>
      <c r="O388" s="1426"/>
      <c r="P388" s="1426"/>
      <c r="Q388" s="1426"/>
      <c r="R388" s="1426"/>
      <c r="S388" s="1426"/>
      <c r="T388" s="1426"/>
      <c r="U388" s="1426"/>
      <c r="V388" s="1406"/>
      <c r="W388" s="1406"/>
      <c r="X388" s="1406"/>
      <c r="Y388" s="1406"/>
      <c r="Z388" s="1406"/>
      <c r="AA388" s="1406"/>
      <c r="AB388" s="1406"/>
      <c r="AC388" s="1406"/>
      <c r="AD388" s="1406"/>
      <c r="AE388" s="1406"/>
      <c r="AF388" s="1406"/>
      <c r="AG388" s="1406"/>
      <c r="AH388" s="1406"/>
      <c r="AI388" s="1406"/>
      <c r="AJ388" s="1406"/>
    </row>
    <row r="389" spans="4:36" ht="13.05" customHeight="1">
      <c r="D389" t="s">
        <v>4</v>
      </c>
      <c r="Q389" s="1583">
        <v>45505</v>
      </c>
      <c r="R389" s="1583"/>
      <c r="S389" s="1583"/>
      <c r="T389" s="1583"/>
      <c r="U389" s="1583"/>
      <c r="V389" t="s">
        <v>308</v>
      </c>
      <c r="AI389" s="1414" t="s">
        <v>669</v>
      </c>
      <c r="AJ389" s="1414"/>
    </row>
    <row r="390" spans="4:36" ht="13.05" customHeight="1">
      <c r="D390" t="s">
        <v>5</v>
      </c>
      <c r="Q390" s="1524">
        <v>46022</v>
      </c>
      <c r="R390" s="1525"/>
      <c r="S390" s="1525"/>
      <c r="T390" s="1525"/>
      <c r="U390" s="1525"/>
      <c r="W390" s="21" t="s">
        <v>74</v>
      </c>
      <c r="AG390" s="1447"/>
      <c r="AH390" s="1447"/>
      <c r="AI390" s="1447"/>
      <c r="AJ390" s="1447"/>
    </row>
    <row r="391" spans="4:36" ht="13.05" customHeight="1">
      <c r="D391" t="s">
        <v>426</v>
      </c>
      <c r="Q391" s="1448">
        <v>16700000</v>
      </c>
      <c r="R391" s="1448"/>
      <c r="S391" s="1448"/>
      <c r="T391" s="1448"/>
      <c r="U391" s="1448"/>
      <c r="V391" s="3" t="s">
        <v>1181</v>
      </c>
      <c r="AG391" s="1516">
        <v>45931</v>
      </c>
      <c r="AH391" s="1516"/>
      <c r="AI391" s="1516"/>
      <c r="AJ391" s="1516"/>
    </row>
    <row r="392" spans="4:36" ht="13.05" customHeight="1">
      <c r="D392" t="s">
        <v>88</v>
      </c>
      <c r="I392" s="1539">
        <v>8182470420</v>
      </c>
      <c r="J392" s="1539"/>
      <c r="K392" s="1539"/>
      <c r="L392" s="1539"/>
      <c r="M392" s="1539"/>
      <c r="N392" s="1539"/>
      <c r="Q392" s="4" t="s">
        <v>205</v>
      </c>
      <c r="S392" s="1446"/>
      <c r="T392" s="1446"/>
      <c r="U392" s="1446"/>
      <c r="V392" t="s">
        <v>73</v>
      </c>
      <c r="AI392" s="1414" t="s">
        <v>669</v>
      </c>
      <c r="AJ392" s="1414"/>
    </row>
    <row r="393" spans="4:36" ht="13.05" customHeight="1">
      <c r="D393" t="s">
        <v>309</v>
      </c>
      <c r="Q393" s="1518" t="s">
        <v>591</v>
      </c>
      <c r="R393" s="1518"/>
      <c r="S393" s="1518"/>
      <c r="T393" s="1518"/>
      <c r="U393" s="1518"/>
      <c r="V393" t="s">
        <v>310</v>
      </c>
      <c r="AG393" s="1447"/>
      <c r="AH393" s="1447"/>
      <c r="AI393" s="1447"/>
      <c r="AJ393" s="1447"/>
    </row>
    <row r="394" spans="4:36" ht="13.05" customHeight="1">
      <c r="D394" t="s">
        <v>311</v>
      </c>
      <c r="Q394" s="1573" t="s">
        <v>591</v>
      </c>
      <c r="R394" s="1573"/>
      <c r="S394" s="1573"/>
      <c r="T394" s="1573"/>
      <c r="U394" s="1573"/>
      <c r="V394" t="s">
        <v>1163</v>
      </c>
      <c r="AG394" s="1447"/>
      <c r="AH394" s="1447"/>
      <c r="AI394" s="1447"/>
      <c r="AJ394" s="1447"/>
    </row>
    <row r="395" spans="4:36" ht="13.05" customHeight="1">
      <c r="D395" t="s">
        <v>1162</v>
      </c>
      <c r="AG395" s="1447"/>
      <c r="AH395" s="1447"/>
      <c r="AI395" s="1447"/>
      <c r="AJ395" s="1447"/>
    </row>
    <row r="396" spans="4:36" ht="13.05" customHeight="1">
      <c r="AG396" s="457"/>
      <c r="AH396" s="457"/>
      <c r="AI396" s="457"/>
      <c r="AJ396" s="457"/>
    </row>
    <row r="397" spans="4:36" ht="13.05" customHeight="1">
      <c r="D397" s="3" t="s">
        <v>2144</v>
      </c>
      <c r="AG397" s="457"/>
      <c r="AH397" s="457"/>
      <c r="AI397" s="1414" t="s">
        <v>669</v>
      </c>
      <c r="AJ397" s="1414"/>
    </row>
    <row r="398" spans="4:36" ht="13.05" customHeight="1">
      <c r="D398" s="3" t="s">
        <v>1667</v>
      </c>
      <c r="T398" s="1433"/>
      <c r="U398" s="1433"/>
      <c r="V398" s="1433"/>
      <c r="W398" s="1433"/>
      <c r="X398" s="1433"/>
      <c r="Y398" s="1433"/>
      <c r="Z398" s="1433"/>
      <c r="AA398" s="1433"/>
      <c r="AB398" s="1433"/>
      <c r="AC398" s="1433"/>
      <c r="AD398" s="1433"/>
      <c r="AE398" s="1433"/>
      <c r="AF398" s="1433"/>
      <c r="AG398" s="1433"/>
      <c r="AH398" s="1433"/>
      <c r="AI398" s="1433"/>
      <c r="AJ398" s="1433"/>
    </row>
    <row r="399" spans="4:36" ht="13.05" customHeight="1">
      <c r="D399" s="3" t="s">
        <v>1666</v>
      </c>
      <c r="T399" s="1433"/>
      <c r="U399" s="1433"/>
      <c r="V399" s="1433"/>
      <c r="W399" s="1433"/>
      <c r="X399" s="1433"/>
      <c r="Y399" s="1433"/>
      <c r="Z399" s="1433"/>
      <c r="AA399" s="1433"/>
      <c r="AB399" s="1433"/>
      <c r="AC399" s="1433"/>
      <c r="AD399" s="1433"/>
      <c r="AE399" s="1433"/>
      <c r="AF399" s="1433"/>
      <c r="AG399" s="1433"/>
      <c r="AH399" s="1433"/>
      <c r="AI399" s="1433"/>
      <c r="AJ399" s="1433"/>
    </row>
    <row r="400" spans="4:36" ht="13.05" customHeight="1">
      <c r="AG400" s="457"/>
      <c r="AH400" s="457"/>
      <c r="AI400" s="457"/>
      <c r="AJ400" s="457"/>
    </row>
    <row r="401" spans="1:36" ht="13.05" customHeight="1">
      <c r="D401" s="3" t="s">
        <v>1660</v>
      </c>
      <c r="S401" s="1433" t="s">
        <v>669</v>
      </c>
      <c r="T401" s="1433"/>
      <c r="U401" s="1433"/>
      <c r="V401" t="s">
        <v>1661</v>
      </c>
      <c r="AG401" s="1527"/>
      <c r="AH401" s="1527"/>
      <c r="AI401" s="1527"/>
      <c r="AJ401" s="1527"/>
    </row>
    <row r="402" spans="1:36" ht="13.05" customHeight="1">
      <c r="D402" s="3" t="s">
        <v>1658</v>
      </c>
      <c r="S402" s="1433" t="s">
        <v>591</v>
      </c>
      <c r="T402" s="1433"/>
      <c r="U402" s="1433"/>
      <c r="V402" t="s">
        <v>1663</v>
      </c>
      <c r="AE402" s="1515"/>
      <c r="AF402" s="1515"/>
      <c r="AG402" s="1515"/>
      <c r="AH402" s="1515"/>
      <c r="AI402" s="1515"/>
      <c r="AJ402" s="1515"/>
    </row>
    <row r="403" spans="1:36" ht="13.05" customHeight="1">
      <c r="D403" s="3" t="s">
        <v>1659</v>
      </c>
      <c r="K403" s="1517"/>
      <c r="L403" s="1517"/>
      <c r="M403" s="1517"/>
      <c r="N403" s="1517"/>
      <c r="O403" s="1517"/>
      <c r="P403" s="1517"/>
      <c r="Q403" s="1517"/>
      <c r="R403" s="1517"/>
      <c r="S403" s="1517"/>
      <c r="T403" s="1517"/>
      <c r="U403" s="1517"/>
      <c r="V403" s="1517"/>
      <c r="W403" s="1517"/>
      <c r="X403" s="1517"/>
      <c r="Y403" s="1517"/>
      <c r="Z403" s="1517"/>
      <c r="AA403" s="1517"/>
      <c r="AB403" s="1517"/>
      <c r="AC403" s="1517"/>
      <c r="AD403" s="1517"/>
      <c r="AE403" s="1517"/>
      <c r="AF403" s="1517"/>
      <c r="AG403" s="1517"/>
      <c r="AH403" s="1517"/>
      <c r="AI403" s="1517"/>
      <c r="AJ403" s="1517"/>
    </row>
    <row r="404" spans="1:36" ht="13.05" customHeight="1">
      <c r="D404" s="3" t="s">
        <v>1662</v>
      </c>
      <c r="K404" s="1517"/>
      <c r="L404" s="1517"/>
      <c r="M404" s="1517"/>
      <c r="N404" s="1517"/>
      <c r="O404" s="1517"/>
      <c r="P404" s="1517"/>
      <c r="Q404" s="1517"/>
      <c r="R404" s="1517"/>
      <c r="S404" s="1517"/>
      <c r="T404" s="1517"/>
      <c r="U404" s="1517"/>
      <c r="V404" s="1517"/>
      <c r="W404" s="1517"/>
      <c r="X404" s="1517"/>
      <c r="Y404" s="1517"/>
      <c r="Z404" s="1517"/>
      <c r="AA404" s="1517"/>
      <c r="AB404" s="1517"/>
      <c r="AC404" s="1517"/>
      <c r="AD404" s="1517"/>
      <c r="AE404" s="1517"/>
      <c r="AF404" s="1517"/>
      <c r="AG404" s="1517"/>
      <c r="AH404" s="1517"/>
      <c r="AI404" s="1517"/>
      <c r="AJ404" s="1517"/>
    </row>
    <row r="405" spans="1:36" ht="13.05" customHeight="1">
      <c r="D405" s="3" t="s">
        <v>1665</v>
      </c>
      <c r="E405" s="478"/>
      <c r="F405" s="478"/>
      <c r="G405" s="478"/>
      <c r="H405" s="478"/>
      <c r="I405" s="478"/>
      <c r="J405" s="478"/>
      <c r="K405" s="478"/>
      <c r="L405" s="478"/>
      <c r="M405" s="478"/>
      <c r="N405" s="478"/>
      <c r="O405" s="478"/>
      <c r="P405" s="478"/>
      <c r="Q405" s="478"/>
      <c r="R405" s="478"/>
      <c r="S405" s="1444" t="s">
        <v>1184</v>
      </c>
      <c r="T405" s="1444"/>
      <c r="U405" s="1444"/>
      <c r="V405" s="1444"/>
      <c r="W405" s="1444"/>
      <c r="X405" s="1444"/>
      <c r="Y405" s="1444"/>
      <c r="Z405" s="1444"/>
      <c r="AA405" s="1444"/>
      <c r="AB405" s="1444"/>
      <c r="AC405" s="1444"/>
      <c r="AD405" s="1444"/>
      <c r="AE405" s="1444"/>
      <c r="AF405" s="1444"/>
      <c r="AG405" s="1444"/>
      <c r="AH405" s="1444"/>
      <c r="AI405" s="1444"/>
      <c r="AJ405" s="1444"/>
    </row>
    <row r="406" spans="1:36" ht="13.05" customHeight="1">
      <c r="D406" s="1265" t="s">
        <v>1664</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05"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05" customHeight="1">
      <c r="AG408" s="457"/>
      <c r="AH408" s="457"/>
      <c r="AI408" s="457"/>
      <c r="AJ408" s="457"/>
    </row>
    <row r="409" spans="1:36" ht="13.05" customHeight="1">
      <c r="A409" s="2" t="s">
        <v>589</v>
      </c>
      <c r="B409" s="2"/>
      <c r="C409" s="2" t="s">
        <v>111</v>
      </c>
    </row>
    <row r="410" spans="1:36" ht="13.05" customHeight="1">
      <c r="B410" s="2"/>
      <c r="C410" s="2"/>
      <c r="D410" s="2" t="s">
        <v>1204</v>
      </c>
      <c r="I410" s="1526" t="s">
        <v>2689</v>
      </c>
      <c r="J410" s="1526"/>
      <c r="K410" s="1526"/>
      <c r="L410" s="1526"/>
      <c r="M410" s="1526"/>
      <c r="N410" s="1526"/>
      <c r="O410" s="1526"/>
      <c r="P410" s="1526"/>
      <c r="Q410" s="1526"/>
      <c r="R410" s="1526"/>
      <c r="S410" s="1526"/>
      <c r="T410" s="1526"/>
      <c r="U410" s="1526"/>
      <c r="V410" s="1526"/>
      <c r="W410" s="1526"/>
      <c r="X410" s="1526"/>
      <c r="Y410" s="1526"/>
      <c r="Z410" s="1526"/>
      <c r="AA410" s="1526"/>
      <c r="AB410" s="1526"/>
      <c r="AC410" s="1526"/>
      <c r="AD410" s="1526"/>
      <c r="AE410" s="1526"/>
    </row>
    <row r="411" spans="1:36" ht="13.05" customHeight="1">
      <c r="E411" t="s">
        <v>106</v>
      </c>
      <c r="R411" s="1414" t="s">
        <v>545</v>
      </c>
      <c r="S411" s="1414"/>
      <c r="AC411" s="27" t="s">
        <v>570</v>
      </c>
      <c r="AD411" s="1389">
        <v>4</v>
      </c>
      <c r="AE411" s="1389"/>
    </row>
    <row r="412" spans="1:36" ht="13.05" customHeight="1">
      <c r="E412" t="s">
        <v>107</v>
      </c>
      <c r="R412" s="1414" t="s">
        <v>591</v>
      </c>
      <c r="S412" s="1414"/>
      <c r="AC412" s="27" t="s">
        <v>570</v>
      </c>
      <c r="AD412" s="1389"/>
      <c r="AE412" s="1389"/>
    </row>
    <row r="413" spans="1:36" ht="13.05" customHeight="1">
      <c r="E413" t="s">
        <v>108</v>
      </c>
      <c r="S413" s="1414" t="s">
        <v>591</v>
      </c>
      <c r="T413" s="1414"/>
    </row>
    <row r="414" spans="1:36" ht="13.05" customHeight="1">
      <c r="E414" t="s">
        <v>169</v>
      </c>
      <c r="H414" s="1574" t="s">
        <v>333</v>
      </c>
      <c r="I414" s="1574"/>
      <c r="J414" s="1574"/>
      <c r="K414" s="1574"/>
      <c r="L414" s="1574"/>
      <c r="M414" s="1574"/>
      <c r="N414" s="1574"/>
      <c r="O414" s="1574"/>
      <c r="P414" s="1574"/>
      <c r="Q414" s="1574"/>
      <c r="R414" s="1574"/>
      <c r="S414" s="1574"/>
      <c r="T414" s="1574"/>
      <c r="U414" s="1574"/>
      <c r="V414" s="1574"/>
      <c r="W414" s="1574"/>
      <c r="X414" s="1574"/>
      <c r="Y414" s="1574"/>
      <c r="Z414" s="1574"/>
      <c r="AA414" s="1574"/>
      <c r="AB414" s="1574"/>
      <c r="AC414" s="1574"/>
      <c r="AD414" s="1574"/>
      <c r="AE414" s="1574"/>
    </row>
    <row r="415" spans="1:36" ht="13.05" customHeight="1">
      <c r="H415" s="1575"/>
      <c r="I415" s="1575"/>
      <c r="J415" s="1575"/>
      <c r="K415" s="1575"/>
      <c r="L415" s="1575"/>
      <c r="M415" s="1575"/>
      <c r="N415" s="1575"/>
      <c r="O415" s="1575"/>
      <c r="P415" s="1575"/>
      <c r="Q415" s="1575"/>
      <c r="R415" s="1575"/>
      <c r="S415" s="1575"/>
      <c r="T415" s="1575"/>
      <c r="U415" s="1575"/>
      <c r="V415" s="1575"/>
      <c r="W415" s="1575"/>
      <c r="X415" s="1575"/>
      <c r="Y415" s="1575"/>
      <c r="Z415" s="1575"/>
      <c r="AA415" s="1575"/>
      <c r="AB415" s="1575"/>
      <c r="AC415" s="1575"/>
      <c r="AD415" s="1575"/>
      <c r="AE415" s="1575"/>
    </row>
    <row r="416" spans="1:36" ht="13.05" customHeight="1"/>
    <row r="417" spans="1:39" ht="13.05" customHeight="1">
      <c r="A417" s="2" t="s">
        <v>590</v>
      </c>
      <c r="B417" s="2"/>
      <c r="C417" s="2"/>
      <c r="D417" s="2" t="s">
        <v>114</v>
      </c>
      <c r="AF417" s="2" t="s">
        <v>957</v>
      </c>
    </row>
    <row r="418" spans="1:39" ht="13.05" customHeight="1">
      <c r="E418" s="1442"/>
      <c r="F418" s="1442"/>
      <c r="G418" s="1442"/>
      <c r="H418" s="13" t="s">
        <v>115</v>
      </c>
      <c r="I418" s="1442"/>
      <c r="J418" s="1442"/>
      <c r="K418" s="1442"/>
      <c r="L418" t="s">
        <v>116</v>
      </c>
      <c r="N418" s="27" t="s">
        <v>575</v>
      </c>
      <c r="P418" s="1577">
        <v>0.5</v>
      </c>
      <c r="Q418" s="1577"/>
      <c r="R418" s="1577"/>
      <c r="S418" t="s">
        <v>117</v>
      </c>
      <c r="W418" s="1443">
        <f>IF(E418&gt;0,(E418*I418),(P418*43560))</f>
        <v>21780</v>
      </c>
      <c r="X418" s="1443"/>
      <c r="Y418" s="1443"/>
      <c r="Z418" t="s">
        <v>118</v>
      </c>
      <c r="AF418" s="1578">
        <f>IFERROR(IF(P418&gt;0,(AG437/P418),(AG437/(W418/43560))),0)</f>
        <v>128</v>
      </c>
      <c r="AG418" s="1578"/>
      <c r="AH418" s="1578"/>
      <c r="AM418" s="3"/>
    </row>
    <row r="419" spans="1:39" ht="13.05" customHeight="1">
      <c r="E419" t="s">
        <v>51</v>
      </c>
    </row>
    <row r="420" spans="1:39" ht="13.05" customHeight="1">
      <c r="E420" s="1493"/>
      <c r="F420" s="1493"/>
      <c r="G420" s="1493"/>
      <c r="H420" s="1493"/>
      <c r="I420" s="1493"/>
      <c r="J420" s="1493"/>
      <c r="K420" s="1493"/>
      <c r="L420" s="1493"/>
      <c r="M420" s="1493"/>
      <c r="N420" s="1493"/>
      <c r="O420" s="1493"/>
      <c r="P420" s="1493"/>
      <c r="Q420" s="1493"/>
      <c r="R420" s="1493"/>
      <c r="S420" s="1493"/>
      <c r="T420" s="1493"/>
      <c r="U420" s="1493"/>
      <c r="V420" s="1493"/>
      <c r="W420" s="1493"/>
      <c r="X420" s="1493"/>
      <c r="Y420" s="1493"/>
      <c r="Z420" s="1493"/>
      <c r="AA420" s="1493"/>
      <c r="AB420" s="1493"/>
      <c r="AC420" s="1493"/>
      <c r="AD420" s="1493"/>
      <c r="AE420" s="1493"/>
      <c r="AF420" s="1493"/>
      <c r="AG420" s="1493"/>
      <c r="AH420" s="1493"/>
      <c r="AI420" s="1493"/>
      <c r="AJ420" s="1493"/>
    </row>
    <row r="421" spans="1:39" ht="13.05" customHeight="1">
      <c r="E421" s="118" t="s">
        <v>1736</v>
      </c>
      <c r="F421" s="1014"/>
      <c r="G421" s="1014"/>
      <c r="H421" s="1014"/>
      <c r="I421" s="1576">
        <v>0.5</v>
      </c>
      <c r="J421" s="1576"/>
      <c r="K421" s="1576"/>
      <c r="L421" s="1014"/>
      <c r="M421" s="118"/>
      <c r="N421" s="1014"/>
      <c r="O421" s="1014"/>
      <c r="P421" s="1829">
        <f>(DU755+DU778+DU800)/I421</f>
        <v>130</v>
      </c>
      <c r="Q421" s="1829"/>
      <c r="R421" s="1829"/>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05" customHeight="1"/>
    <row r="423" spans="1:39" ht="13.05" customHeight="1">
      <c r="A423" s="2" t="s">
        <v>592</v>
      </c>
      <c r="B423" s="2"/>
      <c r="C423" s="2"/>
      <c r="D423" s="2" t="s">
        <v>120</v>
      </c>
    </row>
    <row r="424" spans="1:39" ht="13.05" customHeight="1">
      <c r="E424" t="s">
        <v>121</v>
      </c>
      <c r="P424" s="1414">
        <v>1</v>
      </c>
      <c r="Q424" s="1414"/>
      <c r="S424" t="s">
        <v>188</v>
      </c>
      <c r="AE424" s="1414">
        <v>1</v>
      </c>
      <c r="AF424" s="1414"/>
    </row>
    <row r="425" spans="1:39" ht="13.05" customHeight="1">
      <c r="E425" t="s">
        <v>189</v>
      </c>
      <c r="P425" s="1414">
        <v>0</v>
      </c>
      <c r="Q425" s="1414"/>
      <c r="S425" t="s">
        <v>131</v>
      </c>
      <c r="AE425" s="1414" t="s">
        <v>591</v>
      </c>
      <c r="AF425" s="1414"/>
    </row>
    <row r="426" spans="1:39" ht="13.05" customHeight="1">
      <c r="F426" s="28" t="s">
        <v>132</v>
      </c>
    </row>
    <row r="427" spans="1:39" ht="13.05" customHeight="1">
      <c r="F427" s="1522"/>
      <c r="G427" s="1522"/>
      <c r="H427" s="1522"/>
      <c r="I427" s="1522"/>
      <c r="J427" s="1522"/>
      <c r="K427" s="1522"/>
      <c r="L427" s="1522"/>
      <c r="M427" s="1522"/>
      <c r="N427" s="1522"/>
      <c r="O427" s="1522"/>
      <c r="P427" s="1522"/>
      <c r="Q427" s="1522"/>
      <c r="R427" s="1522"/>
      <c r="S427" s="1522"/>
      <c r="T427" s="1522"/>
      <c r="U427" s="1522"/>
      <c r="V427" s="1522"/>
      <c r="W427" s="1522"/>
      <c r="X427" s="1522"/>
      <c r="Y427" s="1522"/>
      <c r="Z427" s="1522"/>
      <c r="AA427" s="1522"/>
      <c r="AB427" s="1522"/>
      <c r="AC427" s="1522"/>
      <c r="AD427" s="1522"/>
      <c r="AE427" s="1522"/>
      <c r="AF427" s="1522"/>
      <c r="AG427" s="1522"/>
      <c r="AH427" s="1522"/>
    </row>
    <row r="428" spans="1:39" ht="13.05" customHeight="1">
      <c r="F428" s="1523"/>
      <c r="G428" s="1523"/>
      <c r="H428" s="1523"/>
      <c r="I428" s="1523"/>
      <c r="J428" s="1523"/>
      <c r="K428" s="1523"/>
      <c r="L428" s="1523"/>
      <c r="M428" s="1523"/>
      <c r="N428" s="1523"/>
      <c r="O428" s="1523"/>
      <c r="P428" s="1523"/>
      <c r="Q428" s="1523"/>
      <c r="R428" s="1523"/>
      <c r="S428" s="1523"/>
      <c r="T428" s="1523"/>
      <c r="U428" s="1523"/>
      <c r="V428" s="1523"/>
      <c r="W428" s="1523"/>
      <c r="X428" s="1523"/>
      <c r="Y428" s="1523"/>
      <c r="Z428" s="1523"/>
      <c r="AA428" s="1523"/>
      <c r="AB428" s="1523"/>
      <c r="AC428" s="1523"/>
      <c r="AD428" s="1523"/>
      <c r="AE428" s="1523"/>
      <c r="AF428" s="1523"/>
      <c r="AG428" s="1523"/>
      <c r="AH428" s="1523"/>
    </row>
    <row r="429" spans="1:39" ht="13.05" customHeight="1">
      <c r="E429" t="s">
        <v>608</v>
      </c>
      <c r="P429" s="1"/>
      <c r="Q429" s="1414" t="s">
        <v>545</v>
      </c>
      <c r="R429" s="1414"/>
    </row>
    <row r="430" spans="1:39" ht="13.05" customHeight="1">
      <c r="F430" t="s">
        <v>609</v>
      </c>
      <c r="P430" s="1"/>
      <c r="Q430" s="1"/>
      <c r="AF430" s="1414" t="s">
        <v>591</v>
      </c>
      <c r="AG430" s="1495"/>
    </row>
    <row r="431" spans="1:39" ht="13.05" customHeight="1"/>
    <row r="432" spans="1:39" ht="13.05" customHeight="1">
      <c r="A432" s="2"/>
      <c r="B432" s="2"/>
      <c r="C432" s="2"/>
      <c r="E432" s="4" t="s">
        <v>307</v>
      </c>
      <c r="Z432" s="1414" t="s">
        <v>669</v>
      </c>
      <c r="AA432" s="1414"/>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414" t="s">
        <v>591</v>
      </c>
      <c r="AA434" s="1414"/>
    </row>
    <row r="435" spans="1:55" ht="13.05" customHeight="1"/>
    <row r="436" spans="1:55" ht="13.05" customHeight="1">
      <c r="A436" s="2" t="s">
        <v>467</v>
      </c>
      <c r="B436" s="2"/>
      <c r="C436" s="2"/>
      <c r="D436" s="2" t="s">
        <v>764</v>
      </c>
      <c r="AF436" s="48"/>
    </row>
    <row r="437" spans="1:55" ht="13.05" customHeight="1">
      <c r="D437" s="1494"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4">
        <v>64</v>
      </c>
      <c r="AH437" s="1384"/>
      <c r="AI437" s="1384"/>
      <c r="AJ437" s="1384"/>
    </row>
    <row r="438" spans="1:55" ht="13.05" customHeight="1">
      <c r="D438" s="1417" t="s">
        <v>1222</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2">
        <v>0</v>
      </c>
      <c r="AH438" s="1463"/>
      <c r="AI438" s="1463"/>
      <c r="AJ438" s="1463"/>
    </row>
    <row r="439" spans="1:55" ht="13.05" customHeight="1">
      <c r="D439" s="1417" t="s">
        <v>1031</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4">
        <v>63</v>
      </c>
      <c r="AH439" s="1384"/>
      <c r="AI439" s="1384"/>
      <c r="AJ439" s="1384"/>
    </row>
    <row r="440" spans="1:55" ht="13.05" customHeight="1">
      <c r="D440" s="1417" t="s">
        <v>1032</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4">
        <v>63</v>
      </c>
      <c r="AH440" s="1384"/>
      <c r="AI440" s="1384"/>
      <c r="AJ440" s="1384"/>
    </row>
    <row r="441" spans="1:55" ht="13.05" customHeight="1">
      <c r="D441" s="1417" t="s">
        <v>1034</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3.05" customHeight="1">
      <c r="D442" s="1417" t="s">
        <v>1033</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32973</v>
      </c>
      <c r="AH442" s="1415"/>
      <c r="AI442" s="1415"/>
      <c r="AJ442" s="1415"/>
    </row>
    <row r="443" spans="1:55" ht="13.05" customHeight="1">
      <c r="D443" s="1417" t="s">
        <v>1035</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32973</v>
      </c>
      <c r="AH443" s="1415"/>
      <c r="AI443" s="1415"/>
      <c r="AJ443" s="1415"/>
    </row>
    <row r="444" spans="1:55" ht="13.05" customHeight="1">
      <c r="D444" s="1417" t="s">
        <v>1036</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3.05" customHeight="1">
      <c r="D445" s="1417" t="s">
        <v>1037</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3.05" customHeight="1">
      <c r="D446" s="1417" t="s">
        <v>2089</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2361</v>
      </c>
      <c r="AH446" s="1415"/>
      <c r="AI446" s="1415"/>
      <c r="AJ446" s="1415"/>
      <c r="AZ446" s="34"/>
      <c r="BA446" s="34"/>
      <c r="BB446" s="34"/>
      <c r="BC446" s="34"/>
    </row>
    <row r="447" spans="1:55" ht="13.05" customHeight="1">
      <c r="D447" s="1494" t="s">
        <v>569</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v>0</v>
      </c>
      <c r="AH447" s="1415"/>
      <c r="AI447" s="1415"/>
      <c r="AJ447" s="1415"/>
      <c r="AZ447" s="3"/>
      <c r="BA447" s="3"/>
      <c r="BB447" s="3"/>
      <c r="BC447" s="3"/>
    </row>
    <row r="448" spans="1:55" ht="13.05" customHeight="1">
      <c r="D448" s="1417" t="s">
        <v>1205</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11458</v>
      </c>
      <c r="AH448" s="1415"/>
      <c r="AI448" s="1415"/>
      <c r="AJ448" s="1415"/>
      <c r="AZ448" s="3"/>
      <c r="BA448" s="3"/>
      <c r="BB448" s="3"/>
      <c r="BC448" s="3"/>
    </row>
    <row r="449" spans="1:55" ht="13.05" customHeight="1">
      <c r="D449" s="1417" t="s">
        <v>1038</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v>17317</v>
      </c>
      <c r="AH449" s="1415"/>
      <c r="AI449" s="1415"/>
      <c r="AJ449" s="1415"/>
      <c r="BB449" s="3"/>
      <c r="BC449" s="3"/>
    </row>
    <row r="450" spans="1:55" ht="13.05" customHeight="1">
      <c r="D450" s="1570" t="s">
        <v>1039</v>
      </c>
      <c r="E450" s="1571"/>
      <c r="F450" s="1571"/>
      <c r="G450" s="1571"/>
      <c r="H450" s="1571"/>
      <c r="I450" s="1571"/>
      <c r="J450" s="1571"/>
      <c r="K450" s="1571"/>
      <c r="L450" s="1571"/>
      <c r="M450" s="1571"/>
      <c r="N450" s="1571"/>
      <c r="O450" s="1571"/>
      <c r="P450" s="1571"/>
      <c r="Q450" s="1571"/>
      <c r="R450" s="1571"/>
      <c r="S450" s="1571"/>
      <c r="T450" s="1571"/>
      <c r="U450" s="1571"/>
      <c r="V450" s="1571"/>
      <c r="W450" s="1571"/>
      <c r="X450" s="1571"/>
      <c r="Y450" s="1571"/>
      <c r="Z450" s="1571"/>
      <c r="AA450" s="1571"/>
      <c r="AB450" s="1571"/>
      <c r="AC450" s="1571"/>
      <c r="AD450" s="1571"/>
      <c r="AE450" s="1571"/>
      <c r="AF450" s="1572"/>
      <c r="AG450" s="1428">
        <f>AG442+AG446+AG448+AG449</f>
        <v>64109</v>
      </c>
      <c r="AH450" s="1428"/>
      <c r="AI450" s="1428"/>
      <c r="AJ450" s="1428"/>
      <c r="AZ450" s="3"/>
      <c r="BA450" s="3"/>
      <c r="BB450" s="3"/>
      <c r="BC450" s="3"/>
    </row>
    <row r="451" spans="1:55" ht="13.05" customHeight="1">
      <c r="D451" s="1579" t="s">
        <v>1206</v>
      </c>
      <c r="E451" s="1579"/>
      <c r="F451" s="1579"/>
      <c r="G451" s="1579"/>
      <c r="H451" s="1579"/>
      <c r="I451" s="1579"/>
      <c r="J451" s="1579"/>
      <c r="K451" s="1579"/>
      <c r="L451" s="1579"/>
      <c r="M451" s="1579"/>
      <c r="N451" s="1579"/>
      <c r="O451" s="1579"/>
      <c r="P451" s="1579"/>
      <c r="Q451" s="1579"/>
      <c r="R451" s="1579"/>
      <c r="S451" s="1579"/>
      <c r="T451" s="1579"/>
      <c r="U451" s="1579"/>
      <c r="V451" s="1579"/>
      <c r="W451" s="1579"/>
      <c r="X451" s="1579"/>
      <c r="Y451" s="1579"/>
      <c r="Z451" s="1579"/>
      <c r="AA451" s="1579"/>
      <c r="AB451" s="1579"/>
      <c r="AC451" s="1579"/>
      <c r="AD451" s="1579"/>
      <c r="AE451" s="1579"/>
      <c r="AF451" s="1579"/>
      <c r="AG451" s="1579"/>
      <c r="AH451" s="1579"/>
      <c r="AI451" s="1579"/>
      <c r="AJ451" s="1579"/>
      <c r="AZ451" s="3"/>
      <c r="BA451" s="3"/>
      <c r="BB451" s="3"/>
      <c r="BC451" s="3"/>
    </row>
    <row r="452" spans="1:55" ht="13.05" customHeight="1">
      <c r="D452" s="1580"/>
      <c r="E452" s="1580"/>
      <c r="F452" s="1580"/>
      <c r="G452" s="1580"/>
      <c r="H452" s="1580"/>
      <c r="I452" s="1580"/>
      <c r="J452" s="1580"/>
      <c r="K452" s="1580"/>
      <c r="L452" s="1580"/>
      <c r="M452" s="1580"/>
      <c r="N452" s="1580"/>
      <c r="O452" s="1580"/>
      <c r="P452" s="1580"/>
      <c r="Q452" s="1580"/>
      <c r="R452" s="1580"/>
      <c r="S452" s="1580"/>
      <c r="T452" s="1580"/>
      <c r="U452" s="1580"/>
      <c r="V452" s="1580"/>
      <c r="W452" s="1580"/>
      <c r="X452" s="1580"/>
      <c r="Y452" s="1580"/>
      <c r="Z452" s="1580"/>
      <c r="AA452" s="1580"/>
      <c r="AB452" s="1580"/>
      <c r="AC452" s="1580"/>
      <c r="AD452" s="1580"/>
      <c r="AE452" s="1580"/>
      <c r="AF452" s="1580"/>
      <c r="AG452" s="1580"/>
      <c r="AH452" s="1580"/>
      <c r="AI452" s="1580"/>
      <c r="AJ452" s="1580"/>
      <c r="AZ452" s="3"/>
      <c r="BA452" s="3"/>
      <c r="BB452" s="3"/>
      <c r="BC452" s="3"/>
    </row>
    <row r="453" spans="1:55" ht="13.0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676013.140625</v>
      </c>
      <c r="AD454" s="1372"/>
      <c r="AE454" s="1372"/>
      <c r="AF454" s="1372"/>
      <c r="AG454" s="177"/>
      <c r="AH454" s="177"/>
      <c r="AI454" s="177"/>
      <c r="AJ454" s="183"/>
      <c r="AZ454" s="3"/>
      <c r="BA454" s="3" t="str">
        <f>AG575</f>
        <v>Yes</v>
      </c>
      <c r="BB454" s="3"/>
      <c r="BC454" s="3"/>
    </row>
    <row r="455" spans="1:55" ht="13.0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676013.140625</v>
      </c>
      <c r="AD455" s="1372"/>
      <c r="AE455" s="1372"/>
      <c r="AF455" s="1372"/>
      <c r="AG455" s="177"/>
      <c r="AH455" s="177"/>
      <c r="AI455" s="177"/>
      <c r="AJ455" s="183"/>
      <c r="AZ455" s="3"/>
      <c r="BA455" s="3"/>
      <c r="BB455" s="3"/>
      <c r="BC455" s="3"/>
    </row>
    <row r="456" spans="1:55" ht="13.0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536846.4609375</v>
      </c>
      <c r="AD456" s="1372"/>
      <c r="AE456" s="1372"/>
      <c r="AF456" s="1372"/>
      <c r="AG456" s="177"/>
      <c r="AH456" s="177"/>
      <c r="AI456" s="177"/>
      <c r="AJ456" s="183"/>
      <c r="AZ456" s="3"/>
      <c r="BA456" s="3"/>
      <c r="BB456" s="3"/>
      <c r="BC456" s="3"/>
    </row>
    <row r="457" spans="1:55" ht="13.05" customHeight="1">
      <c r="D457" s="177"/>
      <c r="E457" s="177"/>
      <c r="F457" s="137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3.05"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3.0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383" t="s">
        <v>2101</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374" t="s">
        <v>693</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374" t="s">
        <v>694</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374" t="s">
        <v>695</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374" t="s">
        <v>881</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374" t="s">
        <v>696</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3.05" customHeight="1">
      <c r="A471" s="3"/>
      <c r="B471" s="3"/>
      <c r="C471" s="3"/>
      <c r="D471" s="1374" t="s">
        <v>1012</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383" t="s">
        <v>2192</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383" t="s">
        <v>1654</v>
      </c>
      <c r="E473" s="1375"/>
      <c r="F473" s="1375"/>
      <c r="G473" s="1375"/>
      <c r="H473" s="1375"/>
      <c r="I473" s="1375"/>
      <c r="J473" s="1375"/>
      <c r="K473" s="1375"/>
      <c r="L473" s="1375"/>
      <c r="M473" s="1375"/>
      <c r="N473" s="1375"/>
      <c r="O473" s="1375"/>
      <c r="P473" s="1375"/>
      <c r="Q473" s="1375"/>
      <c r="R473" s="1375"/>
      <c r="S473" s="1375"/>
      <c r="T473" s="1375"/>
      <c r="U473" s="1375"/>
      <c r="V473" s="1376"/>
      <c r="W473" s="1390">
        <v>12</v>
      </c>
      <c r="X473" s="1391"/>
      <c r="Y473" s="1392"/>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4" t="s">
        <v>169</v>
      </c>
      <c r="E474" s="245"/>
      <c r="F474" s="246"/>
      <c r="G474" s="1666" t="s">
        <v>1040</v>
      </c>
      <c r="H474" s="1667"/>
      <c r="I474" s="1667"/>
      <c r="J474" s="1667"/>
      <c r="K474" s="1667"/>
      <c r="L474" s="1667"/>
      <c r="M474" s="1667"/>
      <c r="N474" s="1667"/>
      <c r="O474" s="1667"/>
      <c r="P474" s="1667"/>
      <c r="Q474" s="1667"/>
      <c r="R474" s="1667"/>
      <c r="S474" s="1667"/>
      <c r="T474" s="1667"/>
      <c r="U474" s="1667"/>
      <c r="V474" s="1668"/>
      <c r="W474" s="1390">
        <v>63</v>
      </c>
      <c r="X474" s="1391"/>
      <c r="Y474" s="1392"/>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1" t="s">
        <v>2690</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1" t="s">
        <v>2691</v>
      </c>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05" customHeight="1">
      <c r="AU479" s="95"/>
      <c r="AV479" s="95"/>
      <c r="AW479" s="95"/>
      <c r="AX479" s="95"/>
      <c r="AY479" s="95"/>
      <c r="AZ479" s="3"/>
      <c r="BA479" s="3" t="str">
        <f>AG599</f>
        <v>No</v>
      </c>
      <c r="BB479" s="3"/>
      <c r="BC479" s="3"/>
    </row>
    <row r="480" spans="1:55" ht="13.05" customHeight="1">
      <c r="A480" s="1531" t="s">
        <v>810</v>
      </c>
      <c r="B480" s="1531"/>
      <c r="C480" s="1531"/>
      <c r="D480" s="1531"/>
      <c r="E480" s="1531"/>
      <c r="F480" s="1531"/>
      <c r="G480" s="1531"/>
      <c r="H480" s="1531"/>
      <c r="I480" s="1531"/>
      <c r="J480" s="1531"/>
      <c r="K480" s="1531"/>
      <c r="L480" s="1531"/>
      <c r="M480" s="1531"/>
      <c r="N480" s="1531"/>
      <c r="O480" s="1531"/>
      <c r="P480" s="1531"/>
      <c r="Q480" s="1531"/>
      <c r="R480" s="1531"/>
      <c r="S480" s="1531"/>
      <c r="T480" s="1531"/>
      <c r="U480" s="1531"/>
      <c r="V480" s="1531"/>
      <c r="W480" s="1531"/>
      <c r="X480" s="1531"/>
      <c r="Y480" s="1531"/>
      <c r="Z480" s="1531"/>
      <c r="AA480" s="1531"/>
      <c r="AB480" s="1531"/>
      <c r="AC480" s="1531"/>
      <c r="AD480" s="1531"/>
      <c r="AE480" s="1531"/>
      <c r="AF480" s="1531"/>
      <c r="AG480" s="1531"/>
      <c r="AH480" s="1531"/>
      <c r="AI480" s="1531"/>
      <c r="AJ480" s="1531"/>
      <c r="AK480" s="1531"/>
      <c r="AL480" s="1531"/>
      <c r="AM480" s="1531"/>
      <c r="AN480" s="1531"/>
      <c r="AO480" s="1531"/>
      <c r="AP480" s="1531"/>
      <c r="AQ480" s="1531"/>
      <c r="AR480" s="1531"/>
      <c r="AS480" s="1531"/>
      <c r="AT480" s="1531"/>
      <c r="AU480" s="95"/>
      <c r="AV480" s="95"/>
      <c r="AW480" s="95"/>
      <c r="AX480" s="95"/>
      <c r="AY480" s="95"/>
      <c r="AZ480" s="3"/>
      <c r="BB480" s="3"/>
      <c r="BC480" s="3"/>
    </row>
    <row r="481" spans="1:55" ht="13.05" customHeight="1">
      <c r="A481" s="1531"/>
      <c r="B481" s="1531"/>
      <c r="C481" s="1531"/>
      <c r="D481" s="1531"/>
      <c r="E481" s="1531"/>
      <c r="F481" s="1531"/>
      <c r="G481" s="1531"/>
      <c r="H481" s="1531"/>
      <c r="I481" s="1531"/>
      <c r="J481" s="1531"/>
      <c r="K481" s="1531"/>
      <c r="L481" s="1531"/>
      <c r="M481" s="1531"/>
      <c r="N481" s="1531"/>
      <c r="O481" s="1531"/>
      <c r="P481" s="1531"/>
      <c r="Q481" s="1531"/>
      <c r="R481" s="1531"/>
      <c r="S481" s="1531"/>
      <c r="T481" s="1531"/>
      <c r="U481" s="1531"/>
      <c r="V481" s="1531"/>
      <c r="W481" s="1531"/>
      <c r="X481" s="1531"/>
      <c r="Y481" s="1531"/>
      <c r="Z481" s="1531"/>
      <c r="AA481" s="1531"/>
      <c r="AB481" s="1531"/>
      <c r="AC481" s="1531"/>
      <c r="AD481" s="1531"/>
      <c r="AE481" s="1531"/>
      <c r="AF481" s="1531"/>
      <c r="AG481" s="1531"/>
      <c r="AH481" s="1531"/>
      <c r="AI481" s="1531"/>
      <c r="AJ481" s="1531"/>
      <c r="AK481" s="1531"/>
      <c r="AL481" s="1531"/>
      <c r="AM481" s="1531"/>
      <c r="AN481" s="1531"/>
      <c r="AO481" s="1531"/>
      <c r="AP481" s="1531"/>
      <c r="AQ481" s="1531"/>
      <c r="AR481" s="1531"/>
      <c r="AS481" s="1531"/>
      <c r="AT481" s="1531"/>
      <c r="AZ481" s="3"/>
      <c r="BB481" s="3"/>
      <c r="BC481" s="3"/>
    </row>
    <row r="482" spans="1:55" ht="13.05" customHeight="1">
      <c r="AZ482" s="3"/>
      <c r="BB482" s="3"/>
      <c r="BC482" s="3"/>
    </row>
    <row r="483" spans="1:55" ht="13.05" customHeight="1">
      <c r="A483" s="2" t="s">
        <v>318</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385" t="s">
        <v>392</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3.05" customHeight="1">
      <c r="B486" s="45" t="s">
        <v>393</v>
      </c>
      <c r="C486" s="5"/>
      <c r="D486" s="5"/>
      <c r="E486" s="5"/>
      <c r="F486" s="5"/>
      <c r="G486" s="5"/>
      <c r="H486" s="5"/>
      <c r="I486" s="5"/>
      <c r="J486" s="5"/>
      <c r="K486" s="5"/>
      <c r="L486" s="5"/>
      <c r="M486" s="5"/>
      <c r="N486" s="5"/>
      <c r="O486" s="5"/>
      <c r="P486" s="5"/>
      <c r="Q486" s="1369" t="s">
        <v>2692</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3.05" customHeight="1">
      <c r="B487" s="45" t="s">
        <v>394</v>
      </c>
      <c r="C487" s="5"/>
      <c r="D487" s="5"/>
      <c r="E487" s="5"/>
      <c r="F487" s="5"/>
      <c r="G487" s="5"/>
      <c r="H487" s="5"/>
      <c r="I487" s="5"/>
      <c r="J487" s="5"/>
      <c r="K487" s="5"/>
      <c r="L487" s="5"/>
      <c r="M487" s="5"/>
      <c r="N487" s="5"/>
      <c r="O487" s="5"/>
      <c r="P487" s="5"/>
      <c r="Q487" s="1369" t="s">
        <v>2693</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3.05" customHeight="1">
      <c r="B488" s="45" t="s">
        <v>395</v>
      </c>
      <c r="C488" s="5"/>
      <c r="D488" s="5"/>
      <c r="E488" s="5"/>
      <c r="F488" s="5"/>
      <c r="G488" s="5"/>
      <c r="H488" s="5"/>
      <c r="I488" s="5"/>
      <c r="J488" s="5"/>
      <c r="K488" s="5"/>
      <c r="L488" s="5"/>
      <c r="M488" s="5"/>
      <c r="N488" s="5"/>
      <c r="O488" s="5"/>
      <c r="P488" s="5"/>
      <c r="Q488" s="1369" t="s">
        <v>2694</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3.05" customHeight="1">
      <c r="B489" s="1452" t="s">
        <v>396</v>
      </c>
      <c r="C489" s="1453"/>
      <c r="D489" s="1453"/>
      <c r="E489" s="1453"/>
      <c r="F489" s="1453"/>
      <c r="G489" s="1453"/>
      <c r="H489" s="1453"/>
      <c r="I489" s="1453"/>
      <c r="J489" s="1453"/>
      <c r="K489" s="1453"/>
      <c r="L489" s="1453"/>
      <c r="M489" s="1453"/>
      <c r="N489" s="1453"/>
      <c r="O489" s="1453"/>
      <c r="P489" s="1454"/>
      <c r="Q489" s="1458" t="s">
        <v>545</v>
      </c>
      <c r="R489" s="1459"/>
      <c r="S489" s="1564" t="s">
        <v>2695</v>
      </c>
      <c r="T489" s="1565"/>
      <c r="U489" s="1565"/>
      <c r="V489" s="1565"/>
      <c r="W489" s="1565"/>
      <c r="X489" s="1565"/>
      <c r="Y489" s="1565"/>
      <c r="Z489" s="1565"/>
      <c r="AA489" s="1565"/>
      <c r="AB489" s="1565"/>
      <c r="AC489" s="1565"/>
      <c r="AD489" s="1565"/>
      <c r="AE489" s="1565"/>
      <c r="AF489" s="1565"/>
      <c r="AG489" s="1565"/>
      <c r="AH489" s="1565"/>
      <c r="AI489" s="1565"/>
      <c r="AJ489" s="1565"/>
      <c r="AK489" s="1566"/>
      <c r="AZ489" s="3"/>
      <c r="BA489" s="3"/>
      <c r="BB489" s="3"/>
      <c r="BC489" s="3"/>
    </row>
    <row r="490" spans="1:55" ht="13.05" customHeight="1">
      <c r="B490" s="1455"/>
      <c r="C490" s="1456"/>
      <c r="D490" s="1456"/>
      <c r="E490" s="1456"/>
      <c r="F490" s="1456"/>
      <c r="G490" s="1456"/>
      <c r="H490" s="1456"/>
      <c r="I490" s="1456"/>
      <c r="J490" s="1456"/>
      <c r="K490" s="1456"/>
      <c r="L490" s="1456"/>
      <c r="M490" s="1456"/>
      <c r="N490" s="1456"/>
      <c r="O490" s="1456"/>
      <c r="P490" s="1457"/>
      <c r="Q490" s="1460"/>
      <c r="R490" s="1461"/>
      <c r="S490" s="1567"/>
      <c r="T490" s="1523"/>
      <c r="U490" s="1523"/>
      <c r="V490" s="1523"/>
      <c r="W490" s="1523"/>
      <c r="X490" s="1523"/>
      <c r="Y490" s="1523"/>
      <c r="Z490" s="1523"/>
      <c r="AA490" s="1523"/>
      <c r="AB490" s="1523"/>
      <c r="AC490" s="1523"/>
      <c r="AD490" s="1523"/>
      <c r="AE490" s="1523"/>
      <c r="AF490" s="1523"/>
      <c r="AG490" s="1523"/>
      <c r="AH490" s="1523"/>
      <c r="AI490" s="1523"/>
      <c r="AJ490" s="1523"/>
      <c r="AK490" s="1568"/>
      <c r="AZ490" s="3"/>
      <c r="BA490" s="3"/>
      <c r="BB490" s="3"/>
      <c r="BC490" s="3"/>
    </row>
    <row r="491" spans="1:55" ht="13.05" customHeight="1">
      <c r="B491" s="896" t="s">
        <v>1671</v>
      </c>
      <c r="C491" s="874"/>
      <c r="D491" s="874"/>
      <c r="E491" s="874"/>
      <c r="F491" s="874"/>
      <c r="G491" s="874"/>
      <c r="H491" s="874"/>
      <c r="I491" s="874"/>
      <c r="J491" s="874"/>
      <c r="K491" s="874"/>
      <c r="L491" s="874"/>
      <c r="M491" s="874"/>
      <c r="N491" s="874"/>
      <c r="O491" s="874"/>
      <c r="P491" s="874"/>
      <c r="Q491" s="1377" t="s">
        <v>669</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3.05" customHeight="1">
      <c r="B492" s="45" t="s">
        <v>397</v>
      </c>
      <c r="C492" s="5"/>
      <c r="D492" s="5"/>
      <c r="E492" s="5"/>
      <c r="F492" s="5"/>
      <c r="G492" s="5"/>
      <c r="H492" s="5"/>
      <c r="I492" s="5"/>
      <c r="J492" s="5"/>
      <c r="K492" s="5"/>
      <c r="L492" s="5"/>
      <c r="M492" s="5"/>
      <c r="N492" s="5"/>
      <c r="O492" s="5"/>
      <c r="P492" s="5"/>
      <c r="Q492" s="1369" t="s">
        <v>2696</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3.05" customHeight="1">
      <c r="B493" s="45" t="s">
        <v>398</v>
      </c>
      <c r="C493" s="5"/>
      <c r="D493" s="5"/>
      <c r="E493" s="5"/>
      <c r="F493" s="5"/>
      <c r="G493" s="5"/>
      <c r="H493" s="5"/>
      <c r="I493" s="5"/>
      <c r="J493" s="5"/>
      <c r="K493" s="5"/>
      <c r="L493" s="5"/>
      <c r="M493" s="5"/>
      <c r="N493" s="5"/>
      <c r="O493" s="5"/>
      <c r="P493" s="5"/>
      <c r="Q493" s="1369" t="s">
        <v>2696</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369">
        <v>37</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3.05" customHeight="1">
      <c r="B495" s="121" t="s">
        <v>1669</v>
      </c>
      <c r="C495" s="5"/>
      <c r="D495" s="5"/>
      <c r="E495" s="5"/>
      <c r="F495" s="5"/>
      <c r="G495" s="5"/>
      <c r="H495" s="5"/>
      <c r="I495" s="5"/>
      <c r="J495" s="5"/>
      <c r="K495" s="5"/>
      <c r="L495" s="5"/>
      <c r="M495" s="1380">
        <v>37</v>
      </c>
      <c r="N495" s="1381"/>
      <c r="O495" s="1381"/>
      <c r="P495" s="1382"/>
      <c r="Q495" s="121" t="s">
        <v>1670</v>
      </c>
      <c r="R495" s="5"/>
      <c r="S495" s="5"/>
      <c r="T495" s="5"/>
      <c r="U495" s="5"/>
      <c r="V495" s="5"/>
      <c r="W495" s="5"/>
      <c r="X495" s="5"/>
      <c r="Y495" s="5"/>
      <c r="Z495" s="5"/>
      <c r="AA495" s="5"/>
      <c r="AB495" s="5"/>
      <c r="AC495" s="5"/>
      <c r="AD495" s="5"/>
      <c r="AE495" s="5"/>
      <c r="AF495" s="5"/>
      <c r="AG495" s="5"/>
      <c r="AH495" s="1380"/>
      <c r="AI495" s="1381"/>
      <c r="AJ495" s="1381"/>
      <c r="AK495" s="1382"/>
      <c r="AZ495" s="3"/>
      <c r="BA495" s="3"/>
      <c r="BB495" s="3"/>
      <c r="BC495" s="3"/>
    </row>
    <row r="496" spans="1:55" ht="13.0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400</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401</v>
      </c>
      <c r="AD500" s="1386"/>
      <c r="AE500" s="1386"/>
      <c r="AF500" s="1386"/>
      <c r="AG500" s="50" t="s">
        <v>402</v>
      </c>
      <c r="AH500" s="1386" t="s">
        <v>403</v>
      </c>
      <c r="AI500" s="1386"/>
      <c r="AJ500" s="1386"/>
      <c r="AK500" s="1387"/>
      <c r="AZ500" s="3"/>
      <c r="BA500" s="3"/>
      <c r="BB500" s="3"/>
      <c r="BC500" s="3"/>
      <c r="BD500" s="3"/>
      <c r="BE500" s="3"/>
      <c r="BF500" s="3"/>
      <c r="BG500" s="3"/>
      <c r="BH500" s="3"/>
      <c r="BI500" s="3"/>
      <c r="BJ500" s="3"/>
      <c r="BK500" s="3"/>
      <c r="BL500" s="3"/>
      <c r="BM500" s="3"/>
      <c r="BN500" s="3"/>
    </row>
    <row r="501" spans="1:66" ht="13.05" customHeight="1">
      <c r="B501" s="1395" t="s">
        <v>404</v>
      </c>
      <c r="C501" s="1396"/>
      <c r="D501" s="1396"/>
      <c r="E501" s="1396"/>
      <c r="F501" s="1396"/>
      <c r="G501" s="1396"/>
      <c r="H501" s="1397"/>
      <c r="I501" s="42" t="s">
        <v>405</v>
      </c>
      <c r="J501" s="42"/>
      <c r="K501" s="42"/>
      <c r="L501" s="42"/>
      <c r="M501" s="42"/>
      <c r="N501" s="42"/>
      <c r="O501" s="42"/>
      <c r="P501" s="42"/>
      <c r="Q501" s="42"/>
      <c r="R501" s="42"/>
      <c r="S501" s="42"/>
      <c r="T501" s="42"/>
      <c r="U501" s="42"/>
      <c r="V501" s="42"/>
      <c r="W501" s="42"/>
      <c r="AC501" s="1388" t="s">
        <v>591</v>
      </c>
      <c r="AD501" s="1389"/>
      <c r="AE501" s="1389"/>
      <c r="AF501" s="1389"/>
      <c r="AG501" s="13" t="s">
        <v>402</v>
      </c>
      <c r="AH501" s="1426">
        <v>0</v>
      </c>
      <c r="AI501" s="1426"/>
      <c r="AJ501" s="1426"/>
      <c r="AK501" s="1427"/>
      <c r="AZ501" s="3"/>
      <c r="BA501" s="3"/>
      <c r="BB501" s="3"/>
      <c r="BC501" s="3"/>
      <c r="BD501" s="3"/>
      <c r="BE501" s="3"/>
      <c r="BF501" s="3"/>
      <c r="BG501" s="3"/>
      <c r="BH501" s="3"/>
      <c r="BI501" s="3"/>
      <c r="BJ501" s="3"/>
      <c r="BK501" s="3"/>
      <c r="BL501" s="3"/>
      <c r="BM501" s="3"/>
      <c r="BN501" s="3"/>
    </row>
    <row r="502" spans="1:66" ht="13.05" customHeight="1">
      <c r="B502" s="1398"/>
      <c r="C502" s="1399"/>
      <c r="D502" s="1399"/>
      <c r="E502" s="1399"/>
      <c r="F502" s="1399"/>
      <c r="G502" s="1399"/>
      <c r="H502" s="1400"/>
      <c r="I502" s="48" t="s">
        <v>406</v>
      </c>
      <c r="J502" s="48"/>
      <c r="K502" s="48"/>
      <c r="L502" s="48"/>
      <c r="M502" s="48"/>
      <c r="N502" s="48"/>
      <c r="O502" s="48"/>
      <c r="P502" s="48"/>
      <c r="Q502" s="48"/>
      <c r="R502" s="48"/>
      <c r="S502" s="48"/>
      <c r="T502" s="48"/>
      <c r="U502" s="48"/>
      <c r="V502" s="48"/>
      <c r="W502" s="48"/>
      <c r="X502" s="48"/>
      <c r="Y502" s="48"/>
      <c r="Z502" s="48"/>
      <c r="AA502" s="48"/>
      <c r="AB502" s="48"/>
      <c r="AC502" s="1388" t="s">
        <v>591</v>
      </c>
      <c r="AD502" s="1389"/>
      <c r="AE502" s="1389"/>
      <c r="AF502" s="1389"/>
      <c r="AG502" s="38" t="s">
        <v>402</v>
      </c>
      <c r="AH502" s="1426"/>
      <c r="AI502" s="1426"/>
      <c r="AJ502" s="1426"/>
      <c r="AK502" s="1427"/>
      <c r="AZ502" s="3"/>
      <c r="BA502" s="3"/>
      <c r="BB502" s="3"/>
      <c r="BC502" s="3"/>
      <c r="BD502" s="3"/>
      <c r="BE502" s="3"/>
      <c r="BF502" s="3"/>
      <c r="BG502" s="3"/>
      <c r="BH502" s="3"/>
      <c r="BI502" s="3"/>
      <c r="BJ502" s="3"/>
      <c r="BK502" s="3"/>
      <c r="BL502" s="3"/>
      <c r="BM502" s="3"/>
      <c r="BN502" s="3"/>
    </row>
    <row r="503" spans="1:66" ht="13.05" customHeight="1">
      <c r="B503" s="1395" t="s">
        <v>407</v>
      </c>
      <c r="C503" s="1396"/>
      <c r="D503" s="1396"/>
      <c r="E503" s="1396"/>
      <c r="F503" s="1396"/>
      <c r="G503" s="1396"/>
      <c r="H503" s="1397"/>
      <c r="I503" s="42" t="s">
        <v>408</v>
      </c>
      <c r="J503" s="42"/>
      <c r="K503" s="42"/>
      <c r="L503" s="42"/>
      <c r="M503" s="42"/>
      <c r="N503" s="42"/>
      <c r="O503" s="42"/>
      <c r="P503" s="42"/>
      <c r="Q503" s="42"/>
      <c r="R503" s="42"/>
      <c r="S503" s="42"/>
      <c r="T503" s="42"/>
      <c r="U503" s="42"/>
      <c r="V503" s="42"/>
      <c r="W503" s="42"/>
      <c r="AC503" s="1388" t="s">
        <v>591</v>
      </c>
      <c r="AD503" s="1389"/>
      <c r="AE503" s="1389"/>
      <c r="AF503" s="1389"/>
      <c r="AG503" s="13" t="s">
        <v>402</v>
      </c>
      <c r="AH503" s="1426"/>
      <c r="AI503" s="1426"/>
      <c r="AJ503" s="1426"/>
      <c r="AK503" s="1427"/>
      <c r="AZ503" s="3"/>
      <c r="BA503" s="3"/>
      <c r="BB503" s="3"/>
      <c r="BC503" s="3"/>
      <c r="BD503" s="3"/>
      <c r="BE503" s="3"/>
      <c r="BF503" s="3"/>
      <c r="BG503" s="3"/>
      <c r="BH503" s="3"/>
      <c r="BI503" s="3"/>
      <c r="BJ503" s="3"/>
      <c r="BK503" s="3"/>
      <c r="BL503" s="3"/>
      <c r="BM503" s="3"/>
      <c r="BN503" s="3"/>
    </row>
    <row r="504" spans="1:66" ht="13.05" customHeight="1">
      <c r="B504" s="1398"/>
      <c r="C504" s="1399"/>
      <c r="D504" s="1399"/>
      <c r="E504" s="1399"/>
      <c r="F504" s="1399"/>
      <c r="G504" s="1399"/>
      <c r="H504" s="1400"/>
      <c r="I504" t="s">
        <v>409</v>
      </c>
      <c r="AC504" s="1388">
        <v>12</v>
      </c>
      <c r="AD504" s="1389"/>
      <c r="AE504" s="1389"/>
      <c r="AF504" s="1389"/>
      <c r="AG504" s="13" t="s">
        <v>402</v>
      </c>
      <c r="AH504" s="1426">
        <v>1998</v>
      </c>
      <c r="AI504" s="1426"/>
      <c r="AJ504" s="1426"/>
      <c r="AK504" s="1427"/>
      <c r="AZ504" s="3"/>
      <c r="BA504" s="3"/>
      <c r="BB504" s="3"/>
      <c r="BC504" s="3"/>
      <c r="BD504" s="3"/>
      <c r="BE504" s="3"/>
      <c r="BF504" s="3"/>
      <c r="BG504" s="3"/>
      <c r="BH504" s="3"/>
      <c r="BI504" s="3"/>
      <c r="BJ504" s="3"/>
      <c r="BK504" s="3"/>
      <c r="BL504" s="3"/>
      <c r="BM504" s="3"/>
      <c r="BN504" s="3"/>
    </row>
    <row r="505" spans="1:66" ht="13.05" customHeight="1">
      <c r="B505" s="1398"/>
      <c r="C505" s="1399"/>
      <c r="D505" s="1399"/>
      <c r="E505" s="1399"/>
      <c r="F505" s="1399"/>
      <c r="G505" s="1399"/>
      <c r="H505" s="1400"/>
      <c r="I505" t="s">
        <v>410</v>
      </c>
      <c r="AC505" s="1388" t="s">
        <v>591</v>
      </c>
      <c r="AD505" s="1389"/>
      <c r="AE505" s="1389"/>
      <c r="AF505" s="1389"/>
      <c r="AG505" s="13" t="s">
        <v>402</v>
      </c>
      <c r="AH505" s="1426"/>
      <c r="AI505" s="1426"/>
      <c r="AJ505" s="1426"/>
      <c r="AK505" s="1427"/>
      <c r="AZ505" s="3"/>
      <c r="BA505" s="3"/>
      <c r="BB505" s="3"/>
      <c r="BC505" s="3"/>
      <c r="BD505" s="3"/>
      <c r="BE505" s="3"/>
      <c r="BF505" s="3"/>
      <c r="BG505" s="3"/>
      <c r="BH505" s="3"/>
      <c r="BI505" s="3"/>
      <c r="BJ505" s="3"/>
      <c r="BK505" s="3"/>
      <c r="BL505" s="3"/>
      <c r="BM505" s="3"/>
      <c r="BN505" s="3"/>
    </row>
    <row r="506" spans="1:66" ht="13.05" customHeight="1">
      <c r="B506" s="1398"/>
      <c r="C506" s="1399"/>
      <c r="D506" s="1399"/>
      <c r="E506" s="1399"/>
      <c r="F506" s="1399"/>
      <c r="G506" s="1399"/>
      <c r="H506" s="1400"/>
      <c r="I506" t="s">
        <v>411</v>
      </c>
      <c r="AC506" s="1388" t="s">
        <v>591</v>
      </c>
      <c r="AD506" s="1389"/>
      <c r="AE506" s="1389"/>
      <c r="AF506" s="1389"/>
      <c r="AG506" s="13" t="s">
        <v>402</v>
      </c>
      <c r="AH506" s="1426"/>
      <c r="AI506" s="1426"/>
      <c r="AJ506" s="1426"/>
      <c r="AK506" s="1427"/>
      <c r="AZ506" s="3"/>
      <c r="BA506" s="3"/>
      <c r="BB506" s="3"/>
      <c r="BC506" s="3"/>
      <c r="BD506" s="3"/>
      <c r="BE506" s="3"/>
      <c r="BF506" s="3"/>
      <c r="BG506" s="3"/>
      <c r="BH506" s="3"/>
      <c r="BI506" s="3"/>
      <c r="BJ506" s="3"/>
      <c r="BK506" s="3"/>
      <c r="BL506" s="3"/>
      <c r="BM506" s="3"/>
      <c r="BN506" s="3"/>
    </row>
    <row r="507" spans="1:66" ht="13.05" customHeight="1">
      <c r="B507" s="1398"/>
      <c r="C507" s="1399"/>
      <c r="D507" s="1399"/>
      <c r="E507" s="1399"/>
      <c r="F507" s="1399"/>
      <c r="G507" s="1399"/>
      <c r="H507" s="1400"/>
      <c r="I507" s="3" t="s">
        <v>412</v>
      </c>
      <c r="AC507" s="1354">
        <v>9</v>
      </c>
      <c r="AD507" s="1355"/>
      <c r="AE507" s="1355"/>
      <c r="AF507" s="1355"/>
      <c r="AG507" s="13" t="s">
        <v>402</v>
      </c>
      <c r="AH507" s="1426">
        <v>2025</v>
      </c>
      <c r="AI507" s="1426"/>
      <c r="AJ507" s="1426"/>
      <c r="AK507" s="1427"/>
      <c r="AZ507" s="3"/>
      <c r="BA507" s="3"/>
      <c r="BB507" s="3"/>
      <c r="BC507" s="3"/>
      <c r="BD507" s="3"/>
      <c r="BE507" s="3"/>
      <c r="BF507" s="3"/>
      <c r="BG507" s="3"/>
      <c r="BH507" s="3"/>
      <c r="BI507" s="3"/>
      <c r="BJ507" s="3"/>
      <c r="BK507" s="3"/>
      <c r="BL507" s="3"/>
      <c r="BM507" s="3"/>
      <c r="BN507" s="3"/>
    </row>
    <row r="508" spans="1:66" ht="13.05" customHeight="1">
      <c r="B508" s="1398"/>
      <c r="C508" s="1399"/>
      <c r="D508" s="1399"/>
      <c r="E508" s="1399"/>
      <c r="F508" s="1399"/>
      <c r="G508" s="1399"/>
      <c r="H508" s="1400"/>
      <c r="I508" s="897" t="s">
        <v>169</v>
      </c>
      <c r="J508" s="48"/>
      <c r="K508" s="48"/>
      <c r="L508" s="1432" t="s">
        <v>333</v>
      </c>
      <c r="M508" s="1433"/>
      <c r="N508" s="1433"/>
      <c r="O508" s="1433"/>
      <c r="P508" s="1433"/>
      <c r="Q508" s="1433"/>
      <c r="R508" s="1433"/>
      <c r="S508" s="1433"/>
      <c r="T508" s="1433"/>
      <c r="U508" s="1433"/>
      <c r="V508" s="1433"/>
      <c r="W508" s="1433"/>
      <c r="X508" s="1433"/>
      <c r="Y508" s="1433"/>
      <c r="Z508" s="1433"/>
      <c r="AA508" s="1433"/>
      <c r="AB508" s="1434"/>
      <c r="AC508" s="1388" t="s">
        <v>591</v>
      </c>
      <c r="AD508" s="1389"/>
      <c r="AE508" s="1389"/>
      <c r="AF508" s="1389"/>
      <c r="AG508" s="38" t="s">
        <v>402</v>
      </c>
      <c r="AH508" s="1426"/>
      <c r="AI508" s="1426"/>
      <c r="AJ508" s="1426"/>
      <c r="AK508" s="1427"/>
      <c r="AZ508" s="3"/>
      <c r="BA508" s="3"/>
      <c r="BB508" s="3"/>
      <c r="BC508" s="3"/>
      <c r="BD508" s="3"/>
      <c r="BE508" s="3"/>
      <c r="BF508" s="3"/>
      <c r="BG508" s="3"/>
      <c r="BH508" s="3"/>
      <c r="BI508" s="3"/>
      <c r="BJ508" s="3"/>
      <c r="BK508" s="3"/>
      <c r="BL508" s="3"/>
      <c r="BM508" s="3"/>
      <c r="BN508" s="3"/>
    </row>
    <row r="509" spans="1:66" ht="13.05" customHeight="1">
      <c r="B509" s="872"/>
      <c r="C509" s="130"/>
      <c r="D509" s="130"/>
      <c r="E509" s="130"/>
      <c r="F509" s="130"/>
      <c r="G509" s="130"/>
      <c r="H509" s="873"/>
      <c r="I509" s="3" t="s">
        <v>1675</v>
      </c>
      <c r="AC509" s="1384" t="s">
        <v>545</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3.05" customHeight="1">
      <c r="B510" s="872"/>
      <c r="C510" s="130"/>
      <c r="D510" s="130"/>
      <c r="E510" s="130"/>
      <c r="F510" s="130"/>
      <c r="G510" s="130"/>
      <c r="H510" s="873"/>
      <c r="I510" t="s">
        <v>1672</v>
      </c>
      <c r="AC510" s="1354">
        <v>2</v>
      </c>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3.0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0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49">
        <v>0.5</v>
      </c>
      <c r="AD512" s="1450"/>
      <c r="AE512" s="1450"/>
      <c r="AF512" s="1451"/>
      <c r="AG512" s="38"/>
      <c r="AH512" s="1581"/>
      <c r="AI512" s="1581"/>
      <c r="AJ512" s="1581"/>
      <c r="AK512" s="1582"/>
      <c r="AZ512" s="3"/>
      <c r="BA512" s="3"/>
      <c r="BB512" s="3"/>
      <c r="BC512" s="3"/>
      <c r="BD512" s="3"/>
      <c r="BE512" s="3"/>
      <c r="BF512" s="3"/>
      <c r="BG512" s="3"/>
      <c r="BH512" s="3"/>
      <c r="BI512" s="3"/>
      <c r="BJ512" s="3"/>
      <c r="BK512" s="3"/>
      <c r="BL512" s="3"/>
      <c r="BM512" s="3"/>
      <c r="BN512" s="3" t="s">
        <v>1184</v>
      </c>
    </row>
    <row r="513" spans="2:66" ht="13.0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79"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2106</v>
      </c>
    </row>
    <row r="514" spans="2:66" ht="13.05" customHeight="1">
      <c r="B514" s="1395" t="s">
        <v>413</v>
      </c>
      <c r="C514" s="1396"/>
      <c r="D514" s="1396"/>
      <c r="E514" s="1396"/>
      <c r="F514" s="1396"/>
      <c r="G514" s="1396"/>
      <c r="H514" s="1397"/>
      <c r="I514" s="42" t="s">
        <v>414</v>
      </c>
      <c r="J514" s="42"/>
      <c r="K514" s="42"/>
      <c r="L514" s="42"/>
      <c r="M514" s="42"/>
      <c r="N514" s="42"/>
      <c r="O514" s="42"/>
      <c r="P514" s="42"/>
      <c r="Q514" s="42"/>
      <c r="R514" s="42"/>
      <c r="S514" s="42"/>
      <c r="T514" s="42"/>
      <c r="U514" s="42"/>
      <c r="V514" s="42"/>
      <c r="W514" s="42"/>
      <c r="AC514" s="1388">
        <v>1</v>
      </c>
      <c r="AD514" s="1389"/>
      <c r="AE514" s="1389"/>
      <c r="AF514" s="1389"/>
      <c r="AG514" s="13" t="s">
        <v>402</v>
      </c>
      <c r="AH514" s="1426">
        <v>2025</v>
      </c>
      <c r="AI514" s="1426"/>
      <c r="AJ514" s="1426"/>
      <c r="AK514" s="1427"/>
      <c r="AZ514" s="3"/>
      <c r="BA514" s="3"/>
      <c r="BB514" s="3"/>
      <c r="BC514" s="3"/>
      <c r="BD514" s="3"/>
      <c r="BE514" s="3"/>
      <c r="BF514" s="3"/>
      <c r="BG514" s="3"/>
      <c r="BH514" s="3"/>
      <c r="BI514" s="3"/>
      <c r="BJ514" s="3"/>
      <c r="BK514" s="3"/>
      <c r="BL514" s="3"/>
      <c r="BM514" s="3"/>
      <c r="BN514" s="3" t="s">
        <v>2107</v>
      </c>
    </row>
    <row r="515" spans="2:66" ht="13.05" customHeight="1">
      <c r="B515" s="1398"/>
      <c r="C515" s="1399"/>
      <c r="D515" s="1399"/>
      <c r="E515" s="1399"/>
      <c r="F515" s="1399"/>
      <c r="G515" s="1399"/>
      <c r="H515" s="1400"/>
      <c r="I515" t="s">
        <v>415</v>
      </c>
      <c r="AC515" s="1388">
        <v>1</v>
      </c>
      <c r="AD515" s="1389"/>
      <c r="AE515" s="1389"/>
      <c r="AF515" s="1389"/>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2108</v>
      </c>
    </row>
    <row r="516" spans="2:66" ht="13.05" customHeight="1">
      <c r="B516" s="1398"/>
      <c r="C516" s="1399"/>
      <c r="D516" s="1399"/>
      <c r="E516" s="1399"/>
      <c r="F516" s="1399"/>
      <c r="G516" s="1399"/>
      <c r="H516" s="1400"/>
      <c r="I516" s="48" t="s">
        <v>416</v>
      </c>
      <c r="J516" s="48"/>
      <c r="K516" s="48"/>
      <c r="L516" s="48"/>
      <c r="M516" s="48"/>
      <c r="N516" s="48"/>
      <c r="O516" s="48"/>
      <c r="P516" s="48"/>
      <c r="Q516" s="48"/>
      <c r="R516" s="48"/>
      <c r="S516" s="48"/>
      <c r="T516" s="48"/>
      <c r="U516" s="48"/>
      <c r="V516" s="48"/>
      <c r="W516" s="48"/>
      <c r="X516" s="48"/>
      <c r="Y516" s="48"/>
      <c r="Z516" s="48"/>
      <c r="AA516" s="48"/>
      <c r="AB516" s="48"/>
      <c r="AC516" s="1388">
        <v>10</v>
      </c>
      <c r="AD516" s="1389"/>
      <c r="AE516" s="1389"/>
      <c r="AF516" s="1389"/>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2109</v>
      </c>
    </row>
    <row r="517" spans="2:66" ht="13.05" customHeight="1">
      <c r="B517" s="1395" t="s">
        <v>417</v>
      </c>
      <c r="C517" s="1396"/>
      <c r="D517" s="1396"/>
      <c r="E517" s="1396"/>
      <c r="F517" s="1396"/>
      <c r="G517" s="1396"/>
      <c r="H517" s="1397"/>
      <c r="I517" s="42" t="s">
        <v>414</v>
      </c>
      <c r="J517" s="42"/>
      <c r="K517" s="42"/>
      <c r="L517" s="42"/>
      <c r="M517" s="42"/>
      <c r="N517" s="42"/>
      <c r="O517" s="42"/>
      <c r="P517" s="42"/>
      <c r="Q517" s="42"/>
      <c r="R517" s="42"/>
      <c r="S517" s="42"/>
      <c r="T517" s="42"/>
      <c r="U517" s="42"/>
      <c r="V517" s="42"/>
      <c r="W517" s="42"/>
      <c r="X517" s="42"/>
      <c r="Y517" s="42"/>
      <c r="Z517" s="42"/>
      <c r="AA517" s="42"/>
      <c r="AB517" s="42"/>
      <c r="AC517" s="1354">
        <v>1</v>
      </c>
      <c r="AD517" s="1355"/>
      <c r="AE517" s="1355"/>
      <c r="AF517" s="1355"/>
      <c r="AG517" s="129" t="s">
        <v>402</v>
      </c>
      <c r="AH517" s="1426">
        <v>2025</v>
      </c>
      <c r="AI517" s="1426"/>
      <c r="AJ517" s="1426"/>
      <c r="AK517" s="1427"/>
      <c r="AZ517" s="3"/>
      <c r="BB517" s="3"/>
      <c r="BC517" s="3"/>
      <c r="BD517" s="3"/>
      <c r="BE517" s="3"/>
      <c r="BF517" s="3"/>
      <c r="BG517" s="3"/>
      <c r="BH517" s="3"/>
      <c r="BI517" s="3"/>
      <c r="BJ517" s="3"/>
      <c r="BK517" s="3"/>
      <c r="BL517" s="3"/>
      <c r="BM517" s="3"/>
      <c r="BN517" s="3" t="s">
        <v>2110</v>
      </c>
    </row>
    <row r="518" spans="2:66" ht="13.05" customHeight="1">
      <c r="B518" s="1398"/>
      <c r="C518" s="1399"/>
      <c r="D518" s="1399"/>
      <c r="E518" s="1399"/>
      <c r="F518" s="1399"/>
      <c r="G518" s="1399"/>
      <c r="H518" s="1400"/>
      <c r="I518" t="s">
        <v>415</v>
      </c>
      <c r="AC518" s="1388">
        <v>1</v>
      </c>
      <c r="AD518" s="1389"/>
      <c r="AE518" s="1389"/>
      <c r="AF518" s="1389"/>
      <c r="AG518" s="13" t="s">
        <v>402</v>
      </c>
      <c r="AH518" s="1426">
        <v>2025</v>
      </c>
      <c r="AI518" s="1426"/>
      <c r="AJ518" s="1426"/>
      <c r="AK518" s="1427"/>
      <c r="BB518" s="3"/>
      <c r="BC518" s="3"/>
      <c r="BD518" s="3"/>
      <c r="BE518" s="3"/>
      <c r="BF518" s="3"/>
      <c r="BG518" s="3"/>
      <c r="BH518" s="3"/>
      <c r="BI518" s="3"/>
      <c r="BJ518" s="3"/>
      <c r="BK518" s="3"/>
      <c r="BL518" s="3"/>
      <c r="BM518" s="3"/>
      <c r="BN518" s="3" t="s">
        <v>2111</v>
      </c>
    </row>
    <row r="519" spans="2:66" ht="13.05" customHeight="1">
      <c r="B519" s="1401"/>
      <c r="C519" s="1402"/>
      <c r="D519" s="1402"/>
      <c r="E519" s="1402"/>
      <c r="F519" s="1402"/>
      <c r="G519" s="1402"/>
      <c r="H519" s="1403"/>
      <c r="I519" s="48" t="s">
        <v>416</v>
      </c>
      <c r="J519" s="48"/>
      <c r="K519" s="48"/>
      <c r="L519" s="48"/>
      <c r="M519" s="48"/>
      <c r="N519" s="48"/>
      <c r="O519" s="48"/>
      <c r="P519" s="48"/>
      <c r="Q519" s="48"/>
      <c r="R519" s="48"/>
      <c r="S519" s="48"/>
      <c r="T519" s="48"/>
      <c r="U519" s="48"/>
      <c r="V519" s="48"/>
      <c r="W519" s="48"/>
      <c r="X519" s="48"/>
      <c r="Y519" s="48"/>
      <c r="Z519" s="48"/>
      <c r="AA519" s="48"/>
      <c r="AB519" s="48"/>
      <c r="AC519" s="1388">
        <v>4</v>
      </c>
      <c r="AD519" s="1389"/>
      <c r="AE519" s="1389"/>
      <c r="AF519" s="1389"/>
      <c r="AG519" s="38" t="s">
        <v>402</v>
      </c>
      <c r="AH519" s="1426">
        <v>2027</v>
      </c>
      <c r="AI519" s="1426"/>
      <c r="AJ519" s="1426"/>
      <c r="AK519" s="1427"/>
      <c r="BB519" s="3"/>
      <c r="BC519" s="3"/>
      <c r="BD519" s="3"/>
      <c r="BE519" s="3"/>
      <c r="BF519" s="3"/>
      <c r="BG519" s="3"/>
      <c r="BH519" s="3"/>
      <c r="BI519" s="3"/>
      <c r="BJ519" s="3"/>
      <c r="BK519" s="3"/>
      <c r="BL519" s="3"/>
      <c r="BM519" s="3"/>
      <c r="BN519" s="3" t="s">
        <v>2112</v>
      </c>
    </row>
    <row r="520" spans="2:66" ht="13.05" customHeight="1">
      <c r="B520" s="1395" t="s">
        <v>418</v>
      </c>
      <c r="C520" s="1396"/>
      <c r="D520" s="1396"/>
      <c r="E520" s="1396"/>
      <c r="F520" s="1396"/>
      <c r="G520" s="1396"/>
      <c r="H520" s="1397"/>
      <c r="I520" s="41" t="s">
        <v>419</v>
      </c>
      <c r="J520" s="42"/>
      <c r="K520" s="42"/>
      <c r="L520" s="42"/>
      <c r="M520" s="42"/>
      <c r="N520" s="42"/>
      <c r="O520" s="1432" t="s">
        <v>875</v>
      </c>
      <c r="P520" s="1433"/>
      <c r="Q520" s="1433"/>
      <c r="R520" s="1433"/>
      <c r="S520" s="1433"/>
      <c r="T520" s="1433"/>
      <c r="U520" s="1433"/>
      <c r="V520" s="1433"/>
      <c r="W520" s="1433"/>
      <c r="X520" s="1433"/>
      <c r="Y520" s="1433"/>
      <c r="Z520" s="1433"/>
      <c r="AA520" s="1433"/>
      <c r="AB520" s="58"/>
      <c r="AC520" s="1354">
        <v>9</v>
      </c>
      <c r="AD520" s="1355"/>
      <c r="AE520" s="1355"/>
      <c r="AF520" s="1355"/>
      <c r="AG520" s="129" t="s">
        <v>402</v>
      </c>
      <c r="AH520" s="1426">
        <v>2001</v>
      </c>
      <c r="AI520" s="1426"/>
      <c r="AJ520" s="1426"/>
      <c r="AK520" s="1427"/>
      <c r="AZ520" s="3"/>
      <c r="BB520" s="3"/>
      <c r="BC520" s="3"/>
      <c r="BD520" s="3"/>
      <c r="BE520" s="3"/>
      <c r="BF520" s="3"/>
      <c r="BG520" s="3"/>
      <c r="BH520" s="3"/>
      <c r="BI520" s="3"/>
      <c r="BJ520" s="3"/>
      <c r="BK520" s="3"/>
      <c r="BL520" s="3"/>
      <c r="BM520" s="3"/>
      <c r="BN520" s="3" t="s">
        <v>2113</v>
      </c>
    </row>
    <row r="521" spans="2:66" ht="13.05" customHeight="1">
      <c r="B521" s="1398"/>
      <c r="C521" s="1399"/>
      <c r="D521" s="1399"/>
      <c r="E521" s="1399"/>
      <c r="F521" s="1399"/>
      <c r="G521" s="1399"/>
      <c r="H521" s="1400"/>
      <c r="I521" s="114" t="s">
        <v>420</v>
      </c>
      <c r="AB521" s="65"/>
      <c r="AC521" s="1388" t="s">
        <v>591</v>
      </c>
      <c r="AD521" s="1389"/>
      <c r="AE521" s="1389"/>
      <c r="AF521" s="1389"/>
      <c r="AG521" s="13" t="s">
        <v>402</v>
      </c>
      <c r="AH521" s="1426"/>
      <c r="AI521" s="1426"/>
      <c r="AJ521" s="1426"/>
      <c r="AK521" s="1427"/>
      <c r="AZ521" s="3"/>
      <c r="BB521" s="3"/>
      <c r="BC521" s="3"/>
      <c r="BD521" s="3"/>
      <c r="BE521" s="3"/>
      <c r="BF521" s="3"/>
      <c r="BG521" s="3"/>
      <c r="BH521" s="3"/>
      <c r="BI521" s="3"/>
      <c r="BJ521" s="3"/>
      <c r="BK521" s="3"/>
      <c r="BL521" s="3"/>
      <c r="BM521" s="3"/>
      <c r="BN521" s="3" t="s">
        <v>2114</v>
      </c>
    </row>
    <row r="522" spans="2:66" ht="13.05" customHeight="1">
      <c r="B522" s="1398"/>
      <c r="C522" s="1399"/>
      <c r="D522" s="1399"/>
      <c r="E522" s="1399"/>
      <c r="F522" s="1399"/>
      <c r="G522" s="1399"/>
      <c r="H522" s="1400"/>
      <c r="I522" s="47" t="s">
        <v>421</v>
      </c>
      <c r="J522" s="48"/>
      <c r="K522" s="48"/>
      <c r="L522" s="48"/>
      <c r="M522" s="48"/>
      <c r="N522" s="48"/>
      <c r="O522" s="48"/>
      <c r="P522" s="48"/>
      <c r="Q522" s="48"/>
      <c r="R522" s="48"/>
      <c r="S522" s="48"/>
      <c r="T522" s="48"/>
      <c r="U522" s="48"/>
      <c r="V522" s="48"/>
      <c r="W522" s="48"/>
      <c r="X522" s="48"/>
      <c r="Y522" s="48"/>
      <c r="Z522" s="48"/>
      <c r="AA522" s="48"/>
      <c r="AB522" s="49"/>
      <c r="AC522" s="1388" t="s">
        <v>591</v>
      </c>
      <c r="AD522" s="1389"/>
      <c r="AE522" s="1389"/>
      <c r="AF522" s="1389"/>
      <c r="AG522" s="38" t="s">
        <v>402</v>
      </c>
      <c r="AH522" s="1426"/>
      <c r="AI522" s="1426"/>
      <c r="AJ522" s="1426"/>
      <c r="AK522" s="1427"/>
      <c r="AZ522" s="3"/>
      <c r="BA522" s="3"/>
      <c r="BB522" s="3"/>
      <c r="BC522" s="3"/>
      <c r="BD522" s="3"/>
      <c r="BE522" s="3"/>
      <c r="BF522" s="3"/>
      <c r="BG522" s="3"/>
      <c r="BH522" s="3"/>
      <c r="BI522" s="3"/>
      <c r="BJ522" s="3"/>
      <c r="BK522" s="3"/>
      <c r="BL522" s="3"/>
      <c r="BM522" s="3"/>
      <c r="BN522" s="3" t="s">
        <v>2115</v>
      </c>
    </row>
    <row r="523" spans="2:66" ht="13.05" customHeight="1">
      <c r="B523" s="1398"/>
      <c r="C523" s="1399"/>
      <c r="D523" s="1399"/>
      <c r="E523" s="1399"/>
      <c r="F523" s="1399"/>
      <c r="G523" s="1399"/>
      <c r="H523" s="1400"/>
      <c r="I523" s="42" t="s">
        <v>422</v>
      </c>
      <c r="J523" s="42"/>
      <c r="K523" s="42"/>
      <c r="L523" s="42"/>
      <c r="M523" s="42"/>
      <c r="N523" s="42"/>
      <c r="O523" s="1432" t="s">
        <v>333</v>
      </c>
      <c r="P523" s="1433"/>
      <c r="Q523" s="1433"/>
      <c r="R523" s="1433"/>
      <c r="S523" s="1433"/>
      <c r="T523" s="1433"/>
      <c r="U523" s="1433"/>
      <c r="V523" s="1433"/>
      <c r="W523" s="1433"/>
      <c r="X523" s="1433"/>
      <c r="Y523" s="1433"/>
      <c r="Z523" s="1433"/>
      <c r="AA523" s="1433"/>
      <c r="AC523" s="1388" t="s">
        <v>591</v>
      </c>
      <c r="AD523" s="1389"/>
      <c r="AE523" s="1389"/>
      <c r="AF523" s="1389"/>
      <c r="AG523" s="13" t="s">
        <v>402</v>
      </c>
      <c r="AH523" s="1426"/>
      <c r="AI523" s="1426"/>
      <c r="AJ523" s="1426"/>
      <c r="AK523" s="1427"/>
      <c r="AZ523" s="3"/>
      <c r="BA523" s="3"/>
      <c r="BB523" s="3"/>
      <c r="BC523" s="3"/>
      <c r="BD523" s="3"/>
      <c r="BE523" s="3"/>
      <c r="BF523" s="3"/>
      <c r="BG523" s="3"/>
      <c r="BH523" s="3"/>
      <c r="BI523" s="3"/>
      <c r="BJ523" s="3"/>
      <c r="BK523" s="3"/>
      <c r="BL523" s="3"/>
      <c r="BM523" s="3"/>
      <c r="BN523" s="3" t="s">
        <v>2116</v>
      </c>
    </row>
    <row r="524" spans="2:66" ht="13.05" customHeight="1">
      <c r="B524" s="1398"/>
      <c r="C524" s="1399"/>
      <c r="D524" s="1399"/>
      <c r="E524" s="1399"/>
      <c r="F524" s="1399"/>
      <c r="G524" s="1399"/>
      <c r="H524" s="1400"/>
      <c r="I524" t="s">
        <v>420</v>
      </c>
      <c r="AC524" s="1388" t="s">
        <v>591</v>
      </c>
      <c r="AD524" s="1389"/>
      <c r="AE524" s="1389"/>
      <c r="AF524" s="1389"/>
      <c r="AG524" s="13" t="s">
        <v>402</v>
      </c>
      <c r="AH524" s="1426"/>
      <c r="AI524" s="1426"/>
      <c r="AJ524" s="1426"/>
      <c r="AK524" s="1427"/>
      <c r="AZ524" s="3"/>
      <c r="BA524" s="3"/>
      <c r="BB524" s="3"/>
      <c r="BC524" s="3"/>
      <c r="BD524" s="3"/>
      <c r="BE524" s="3"/>
      <c r="BF524" s="3"/>
      <c r="BG524" s="3"/>
      <c r="BH524" s="3"/>
      <c r="BI524" s="3"/>
      <c r="BJ524" s="3"/>
      <c r="BK524" s="3"/>
      <c r="BL524" s="3"/>
      <c r="BM524" s="3"/>
      <c r="BN524" s="3" t="s">
        <v>2117</v>
      </c>
    </row>
    <row r="525" spans="2:66" ht="13.05" customHeight="1">
      <c r="B525" s="1398"/>
      <c r="C525" s="1399"/>
      <c r="D525" s="1399"/>
      <c r="E525" s="1399"/>
      <c r="F525" s="1399"/>
      <c r="G525" s="1399"/>
      <c r="H525" s="1400"/>
      <c r="I525" s="48" t="s">
        <v>421</v>
      </c>
      <c r="J525" s="48"/>
      <c r="K525" s="48"/>
      <c r="L525" s="48"/>
      <c r="M525" s="48"/>
      <c r="N525" s="48"/>
      <c r="O525" s="48"/>
      <c r="P525" s="48"/>
      <c r="Q525" s="48"/>
      <c r="R525" s="48"/>
      <c r="S525" s="48"/>
      <c r="T525" s="48"/>
      <c r="U525" s="48"/>
      <c r="V525" s="48"/>
      <c r="W525" s="48"/>
      <c r="X525" s="48"/>
      <c r="Y525" s="48"/>
      <c r="Z525" s="48"/>
      <c r="AA525" s="48"/>
      <c r="AB525" s="48"/>
      <c r="AC525" s="1388" t="s">
        <v>591</v>
      </c>
      <c r="AD525" s="1389"/>
      <c r="AE525" s="1389"/>
      <c r="AF525" s="1389"/>
      <c r="AG525" s="38" t="s">
        <v>402</v>
      </c>
      <c r="AH525" s="1426"/>
      <c r="AI525" s="1426"/>
      <c r="AJ525" s="1426"/>
      <c r="AK525" s="1427"/>
      <c r="AZ525" s="3"/>
      <c r="BA525" s="3"/>
      <c r="BB525" s="3"/>
      <c r="BC525" s="3"/>
      <c r="BD525" s="3"/>
      <c r="BE525" s="3"/>
      <c r="BF525" s="3"/>
      <c r="BG525" s="3"/>
      <c r="BH525" s="3"/>
      <c r="BI525" s="3"/>
      <c r="BJ525" s="3"/>
      <c r="BK525" s="3"/>
      <c r="BL525" s="3"/>
      <c r="BM525" s="3"/>
      <c r="BN525" s="3" t="s">
        <v>2118</v>
      </c>
    </row>
    <row r="526" spans="2:66" ht="13.05" customHeight="1">
      <c r="B526" s="1398"/>
      <c r="C526" s="1399"/>
      <c r="D526" s="1399"/>
      <c r="E526" s="1399"/>
      <c r="F526" s="1399"/>
      <c r="G526" s="1399"/>
      <c r="H526" s="1400"/>
      <c r="I526" s="42" t="s">
        <v>422</v>
      </c>
      <c r="J526" s="42"/>
      <c r="K526" s="42"/>
      <c r="L526" s="42"/>
      <c r="M526" s="42"/>
      <c r="N526" s="42"/>
      <c r="O526" s="1432" t="s">
        <v>333</v>
      </c>
      <c r="P526" s="1433"/>
      <c r="Q526" s="1433"/>
      <c r="R526" s="1433"/>
      <c r="S526" s="1433"/>
      <c r="T526" s="1433"/>
      <c r="U526" s="1433"/>
      <c r="V526" s="1433"/>
      <c r="W526" s="1433"/>
      <c r="X526" s="1433"/>
      <c r="Y526" s="1433"/>
      <c r="Z526" s="1433"/>
      <c r="AA526" s="1433"/>
      <c r="AC526" s="1388" t="s">
        <v>591</v>
      </c>
      <c r="AD526" s="1389"/>
      <c r="AE526" s="1389"/>
      <c r="AF526" s="1389"/>
      <c r="AG526" s="13" t="s">
        <v>402</v>
      </c>
      <c r="AH526" s="1426"/>
      <c r="AI526" s="1426"/>
      <c r="AJ526" s="1426"/>
      <c r="AK526" s="1427"/>
      <c r="AZ526" s="3"/>
      <c r="BA526" s="3"/>
      <c r="BB526" s="3"/>
      <c r="BC526" s="3"/>
      <c r="BD526" s="3"/>
      <c r="BE526" s="3"/>
      <c r="BF526" s="3"/>
      <c r="BG526" s="3"/>
      <c r="BH526" s="3"/>
      <c r="BI526" s="3"/>
      <c r="BJ526" s="3"/>
      <c r="BK526" s="3"/>
      <c r="BL526" s="3"/>
      <c r="BM526" s="3"/>
      <c r="BN526" s="3" t="s">
        <v>2119</v>
      </c>
    </row>
    <row r="527" spans="2:66" ht="13.05" customHeight="1">
      <c r="B527" s="1398"/>
      <c r="C527" s="1399"/>
      <c r="D527" s="1399"/>
      <c r="E527" s="1399"/>
      <c r="F527" s="1399"/>
      <c r="G527" s="1399"/>
      <c r="H527" s="1400"/>
      <c r="I527" t="s">
        <v>420</v>
      </c>
      <c r="AC527" s="1388" t="s">
        <v>591</v>
      </c>
      <c r="AD527" s="1389"/>
      <c r="AE527" s="1389"/>
      <c r="AF527" s="1389"/>
      <c r="AG527" s="13" t="s">
        <v>402</v>
      </c>
      <c r="AH527" s="1426"/>
      <c r="AI527" s="1426"/>
      <c r="AJ527" s="1426"/>
      <c r="AK527" s="1427"/>
      <c r="AZ527" s="3"/>
      <c r="BA527" s="3"/>
      <c r="BB527" s="3"/>
      <c r="BC527" s="3"/>
      <c r="BD527" s="3"/>
      <c r="BE527" s="3"/>
      <c r="BF527" s="3"/>
      <c r="BG527" s="3"/>
      <c r="BH527" s="3"/>
      <c r="BI527" s="3"/>
      <c r="BJ527" s="3"/>
      <c r="BK527" s="3"/>
      <c r="BL527" s="3"/>
      <c r="BM527" s="3"/>
      <c r="BN527" s="3" t="s">
        <v>2120</v>
      </c>
    </row>
    <row r="528" spans="2:66" ht="13.05" customHeight="1">
      <c r="B528" s="1398"/>
      <c r="C528" s="1399"/>
      <c r="D528" s="1399"/>
      <c r="E528" s="1399"/>
      <c r="F528" s="1399"/>
      <c r="G528" s="1399"/>
      <c r="H528" s="1400"/>
      <c r="I528" s="48" t="s">
        <v>421</v>
      </c>
      <c r="J528" s="48"/>
      <c r="K528" s="48"/>
      <c r="L528" s="48"/>
      <c r="M528" s="48"/>
      <c r="N528" s="48"/>
      <c r="O528" s="48"/>
      <c r="P528" s="48"/>
      <c r="Q528" s="48"/>
      <c r="R528" s="48"/>
      <c r="S528" s="48"/>
      <c r="T528" s="48"/>
      <c r="U528" s="48"/>
      <c r="V528" s="48"/>
      <c r="W528" s="48"/>
      <c r="X528" s="48"/>
      <c r="Y528" s="48"/>
      <c r="Z528" s="48"/>
      <c r="AA528" s="48"/>
      <c r="AB528" s="48"/>
      <c r="AC528" s="1388" t="s">
        <v>591</v>
      </c>
      <c r="AD528" s="1389"/>
      <c r="AE528" s="1389"/>
      <c r="AF528" s="1389"/>
      <c r="AG528" s="38" t="s">
        <v>402</v>
      </c>
      <c r="AH528" s="1426"/>
      <c r="AI528" s="1426"/>
      <c r="AJ528" s="1426"/>
      <c r="AK528" s="1427"/>
      <c r="AZ528" s="3"/>
      <c r="BA528" s="3"/>
      <c r="BB528" s="3"/>
      <c r="BC528" s="3"/>
      <c r="BD528" s="3"/>
      <c r="BE528" s="3"/>
      <c r="BF528" s="3"/>
      <c r="BG528" s="3"/>
      <c r="BH528" s="3"/>
      <c r="BI528" s="3"/>
      <c r="BJ528" s="3"/>
      <c r="BK528" s="3"/>
      <c r="BL528" s="3"/>
      <c r="BM528" s="3"/>
      <c r="BN528" s="3" t="s">
        <v>2121</v>
      </c>
    </row>
    <row r="529" spans="1:66" ht="13.05" customHeight="1">
      <c r="B529" s="1398"/>
      <c r="C529" s="1399"/>
      <c r="D529" s="1399"/>
      <c r="E529" s="1399"/>
      <c r="F529" s="1399"/>
      <c r="G529" s="1399"/>
      <c r="H529" s="1400"/>
      <c r="I529" s="42" t="s">
        <v>422</v>
      </c>
      <c r="J529" s="42"/>
      <c r="K529" s="42"/>
      <c r="L529" s="42"/>
      <c r="M529" s="42"/>
      <c r="N529" s="42"/>
      <c r="O529" s="1432" t="s">
        <v>333</v>
      </c>
      <c r="P529" s="1433"/>
      <c r="Q529" s="1433"/>
      <c r="R529" s="1433"/>
      <c r="S529" s="1433"/>
      <c r="T529" s="1433"/>
      <c r="U529" s="1433"/>
      <c r="V529" s="1433"/>
      <c r="W529" s="1433"/>
      <c r="X529" s="1433"/>
      <c r="Y529" s="1433"/>
      <c r="Z529" s="1433"/>
      <c r="AA529" s="1433"/>
      <c r="AC529" s="1388" t="s">
        <v>591</v>
      </c>
      <c r="AD529" s="1389"/>
      <c r="AE529" s="1389"/>
      <c r="AF529" s="1389"/>
      <c r="AG529" s="13" t="s">
        <v>402</v>
      </c>
      <c r="AH529" s="1426"/>
      <c r="AI529" s="1426"/>
      <c r="AJ529" s="1426"/>
      <c r="AK529" s="1427"/>
      <c r="AZ529" s="3"/>
      <c r="BA529" s="3"/>
      <c r="BB529" s="3"/>
      <c r="BC529" s="3"/>
      <c r="BD529" s="3"/>
      <c r="BE529" s="3"/>
      <c r="BF529" s="3"/>
      <c r="BG529" s="3"/>
      <c r="BH529" s="3"/>
      <c r="BI529" s="3"/>
      <c r="BJ529" s="3"/>
      <c r="BK529" s="3"/>
      <c r="BL529" s="3"/>
      <c r="BM529" s="3"/>
      <c r="BN529" s="3" t="s">
        <v>2122</v>
      </c>
    </row>
    <row r="530" spans="1:66" ht="13.05" customHeight="1">
      <c r="B530" s="1398"/>
      <c r="C530" s="1399"/>
      <c r="D530" s="1399"/>
      <c r="E530" s="1399"/>
      <c r="F530" s="1399"/>
      <c r="G530" s="1399"/>
      <c r="H530" s="1400"/>
      <c r="I530" t="s">
        <v>420</v>
      </c>
      <c r="AC530" s="1388" t="s">
        <v>591</v>
      </c>
      <c r="AD530" s="1389"/>
      <c r="AE530" s="1389"/>
      <c r="AF530" s="1389"/>
      <c r="AG530" s="13" t="s">
        <v>402</v>
      </c>
      <c r="AH530" s="1426"/>
      <c r="AI530" s="1426"/>
      <c r="AJ530" s="1426"/>
      <c r="AK530" s="1427"/>
      <c r="AZ530" s="3"/>
      <c r="BA530" s="3"/>
      <c r="BB530" s="3"/>
      <c r="BC530" s="3"/>
      <c r="BD530" s="3"/>
      <c r="BE530" s="3"/>
      <c r="BF530" s="3"/>
      <c r="BG530" s="3"/>
      <c r="BH530" s="3"/>
      <c r="BI530" s="3"/>
      <c r="BJ530" s="3"/>
      <c r="BK530" s="3"/>
      <c r="BL530" s="3"/>
      <c r="BM530" s="3"/>
      <c r="BN530" s="3" t="s">
        <v>2123</v>
      </c>
    </row>
    <row r="531" spans="1:66" ht="13.05" customHeight="1">
      <c r="B531" s="1398"/>
      <c r="C531" s="1399"/>
      <c r="D531" s="1399"/>
      <c r="E531" s="1399"/>
      <c r="F531" s="1399"/>
      <c r="G531" s="1399"/>
      <c r="H531" s="1400"/>
      <c r="I531" s="48" t="s">
        <v>421</v>
      </c>
      <c r="J531" s="48"/>
      <c r="K531" s="48"/>
      <c r="L531" s="48"/>
      <c r="M531" s="48"/>
      <c r="N531" s="48"/>
      <c r="O531" s="48"/>
      <c r="P531" s="48"/>
      <c r="Q531" s="48"/>
      <c r="R531" s="48"/>
      <c r="S531" s="48"/>
      <c r="T531" s="48"/>
      <c r="U531" s="48"/>
      <c r="V531" s="48"/>
      <c r="W531" s="48"/>
      <c r="X531" s="48"/>
      <c r="Y531" s="48"/>
      <c r="Z531" s="48"/>
      <c r="AA531" s="48"/>
      <c r="AB531" s="48"/>
      <c r="AC531" s="1388" t="s">
        <v>591</v>
      </c>
      <c r="AD531" s="1389"/>
      <c r="AE531" s="1389"/>
      <c r="AF531" s="1389"/>
      <c r="AG531" s="38" t="s">
        <v>402</v>
      </c>
      <c r="AH531" s="1426"/>
      <c r="AI531" s="1426"/>
      <c r="AJ531" s="1426"/>
      <c r="AK531" s="1427"/>
      <c r="AZ531" s="3"/>
      <c r="BA531" s="3"/>
      <c r="BB531" s="3"/>
      <c r="BC531" s="3"/>
      <c r="BD531" s="3"/>
      <c r="BE531" s="3"/>
      <c r="BF531" s="3"/>
      <c r="BG531" s="3"/>
      <c r="BH531" s="3"/>
      <c r="BI531" s="3"/>
      <c r="BJ531" s="3"/>
      <c r="BK531" s="3"/>
      <c r="BL531" s="3"/>
      <c r="BM531" s="3"/>
      <c r="BN531" s="3" t="s">
        <v>2124</v>
      </c>
    </row>
    <row r="532" spans="1:66" ht="13.05" customHeight="1">
      <c r="B532" s="1398"/>
      <c r="C532" s="1399"/>
      <c r="D532" s="1399"/>
      <c r="E532" s="1399"/>
      <c r="F532" s="1399"/>
      <c r="G532" s="1399"/>
      <c r="H532" s="1400"/>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8" t="s">
        <v>591</v>
      </c>
      <c r="AD532" s="1389"/>
      <c r="AE532" s="1389"/>
      <c r="AF532" s="1389"/>
      <c r="AG532" s="13" t="s">
        <v>402</v>
      </c>
      <c r="AH532" s="1426"/>
      <c r="AI532" s="1426"/>
      <c r="AJ532" s="1426"/>
      <c r="AK532" s="1427"/>
      <c r="AZ532" s="3"/>
      <c r="BA532" s="3"/>
      <c r="BB532" s="3"/>
      <c r="BC532" s="3"/>
      <c r="BD532" s="3"/>
      <c r="BE532" s="3"/>
      <c r="BF532" s="3"/>
      <c r="BG532" s="3"/>
      <c r="BH532" s="3"/>
      <c r="BI532" s="3"/>
      <c r="BJ532" s="3"/>
      <c r="BK532" s="3"/>
      <c r="BL532" s="3"/>
      <c r="BM532" s="3"/>
      <c r="BN532" s="3" t="s">
        <v>2125</v>
      </c>
    </row>
    <row r="533" spans="1:66" ht="13.05" customHeight="1">
      <c r="B533" s="1398"/>
      <c r="C533" s="1399"/>
      <c r="D533" s="1399"/>
      <c r="E533" s="1399"/>
      <c r="F533" s="1399"/>
      <c r="G533" s="1399"/>
      <c r="H533" s="1400"/>
      <c r="I533" t="s">
        <v>420</v>
      </c>
      <c r="AC533" s="1388" t="s">
        <v>591</v>
      </c>
      <c r="AD533" s="1389"/>
      <c r="AE533" s="1389"/>
      <c r="AF533" s="1389"/>
      <c r="AG533" s="38" t="s">
        <v>402</v>
      </c>
      <c r="AH533" s="1426"/>
      <c r="AI533" s="1426"/>
      <c r="AJ533" s="1426"/>
      <c r="AK533" s="1427"/>
      <c r="AZ533" s="3"/>
      <c r="BA533" s="3"/>
      <c r="BB533" s="3"/>
      <c r="BC533" s="3"/>
      <c r="BD533" s="3"/>
      <c r="BE533" s="3"/>
      <c r="BF533" s="3"/>
      <c r="BG533" s="3"/>
      <c r="BH533" s="3"/>
      <c r="BI533" s="3"/>
      <c r="BJ533" s="3"/>
      <c r="BK533" s="3"/>
      <c r="BL533" s="3"/>
      <c r="BM533" s="3"/>
      <c r="BN533" s="3" t="s">
        <v>2126</v>
      </c>
    </row>
    <row r="534" spans="1:66" ht="13.05" customHeight="1">
      <c r="B534" s="1398"/>
      <c r="C534" s="1399"/>
      <c r="D534" s="1399"/>
      <c r="E534" s="1399"/>
      <c r="F534" s="1399"/>
      <c r="G534" s="1399"/>
      <c r="H534" s="1400"/>
      <c r="I534" s="48" t="s">
        <v>421</v>
      </c>
      <c r="J534" s="48"/>
      <c r="K534" s="48"/>
      <c r="L534" s="48"/>
      <c r="M534" s="48"/>
      <c r="N534" s="48"/>
      <c r="O534" s="48"/>
      <c r="P534" s="48"/>
      <c r="Q534" s="48"/>
      <c r="R534" s="48"/>
      <c r="S534" s="48"/>
      <c r="T534" s="48"/>
      <c r="U534" s="48"/>
      <c r="V534" s="48"/>
      <c r="W534" s="48"/>
      <c r="X534" s="48"/>
      <c r="Y534" s="48"/>
      <c r="Z534" s="48"/>
      <c r="AA534" s="48"/>
      <c r="AB534" s="48"/>
      <c r="AC534" s="1388" t="s">
        <v>591</v>
      </c>
      <c r="AD534" s="1389"/>
      <c r="AE534" s="1389"/>
      <c r="AF534" s="1389"/>
      <c r="AG534" s="13" t="s">
        <v>402</v>
      </c>
      <c r="AH534" s="1426"/>
      <c r="AI534" s="1426"/>
      <c r="AJ534" s="1426"/>
      <c r="AK534" s="1427"/>
      <c r="AZ534" s="3"/>
      <c r="BA534" s="3"/>
      <c r="BB534" s="3"/>
      <c r="BC534" s="3"/>
      <c r="BD534" s="3"/>
      <c r="BE534" s="3"/>
      <c r="BF534" s="3"/>
      <c r="BG534" s="3"/>
      <c r="BH534" s="3"/>
      <c r="BI534" s="3"/>
      <c r="BJ534" s="3"/>
      <c r="BK534" s="3"/>
      <c r="BL534" s="3"/>
      <c r="BM534" s="3"/>
      <c r="BN534" s="3" t="s">
        <v>2127</v>
      </c>
    </row>
    <row r="535" spans="1:66" ht="13.05" customHeight="1">
      <c r="B535" s="1398"/>
      <c r="C535" s="1399"/>
      <c r="D535" s="1399"/>
      <c r="E535" s="1399"/>
      <c r="F535" s="1399"/>
      <c r="G535" s="1399"/>
      <c r="H535" s="1400"/>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8" t="s">
        <v>591</v>
      </c>
      <c r="AD535" s="1389"/>
      <c r="AE535" s="1389"/>
      <c r="AF535" s="1389"/>
      <c r="AG535" s="38" t="s">
        <v>402</v>
      </c>
      <c r="AH535" s="1426"/>
      <c r="AI535" s="1426"/>
      <c r="AJ535" s="1426"/>
      <c r="AK535" s="1427"/>
      <c r="AZ535" s="3"/>
      <c r="BA535" s="3"/>
      <c r="BB535" s="3"/>
      <c r="BC535" s="3"/>
      <c r="BD535" s="3"/>
      <c r="BE535" s="3"/>
      <c r="BF535" s="3"/>
      <c r="BG535" s="3"/>
      <c r="BH535" s="3"/>
      <c r="BI535" s="3"/>
      <c r="BJ535" s="3"/>
      <c r="BK535" s="3"/>
      <c r="BL535" s="3"/>
      <c r="BM535" s="3"/>
      <c r="BN535" s="3" t="s">
        <v>2128</v>
      </c>
    </row>
    <row r="536" spans="1:66" ht="13.05" customHeight="1">
      <c r="B536" s="1398"/>
      <c r="C536" s="1399"/>
      <c r="D536" s="1399"/>
      <c r="E536" s="1399"/>
      <c r="F536" s="1399"/>
      <c r="G536" s="1399"/>
      <c r="H536" s="1400"/>
      <c r="I536" t="s">
        <v>420</v>
      </c>
      <c r="AC536" s="1388" t="s">
        <v>591</v>
      </c>
      <c r="AD536" s="1389"/>
      <c r="AE536" s="1389"/>
      <c r="AF536" s="1389"/>
      <c r="AG536" s="13" t="s">
        <v>402</v>
      </c>
      <c r="AH536" s="1426"/>
      <c r="AI536" s="1426"/>
      <c r="AJ536" s="1426"/>
      <c r="AK536" s="1427"/>
      <c r="AZ536" s="3"/>
      <c r="BA536" s="3"/>
      <c r="BB536" s="3"/>
      <c r="BC536" s="3"/>
      <c r="BD536" s="3"/>
      <c r="BE536" s="3"/>
      <c r="BF536" s="3"/>
      <c r="BG536" s="3"/>
      <c r="BH536" s="3"/>
      <c r="BI536" s="3"/>
      <c r="BJ536" s="3"/>
      <c r="BK536" s="3"/>
      <c r="BL536" s="3"/>
      <c r="BM536" s="3"/>
      <c r="BN536" s="3" t="s">
        <v>2129</v>
      </c>
    </row>
    <row r="537" spans="1:66" ht="13.05" customHeight="1">
      <c r="B537" s="1398"/>
      <c r="C537" s="1399"/>
      <c r="D537" s="1399"/>
      <c r="E537" s="1399"/>
      <c r="F537" s="1399"/>
      <c r="G537" s="1399"/>
      <c r="H537" s="1400"/>
      <c r="I537" s="48" t="s">
        <v>421</v>
      </c>
      <c r="J537" s="48"/>
      <c r="K537" s="48"/>
      <c r="L537" s="48"/>
      <c r="M537" s="48"/>
      <c r="N537" s="48"/>
      <c r="O537" s="48"/>
      <c r="P537" s="48"/>
      <c r="Q537" s="48"/>
      <c r="R537" s="48"/>
      <c r="S537" s="48"/>
      <c r="T537" s="48"/>
      <c r="U537" s="48"/>
      <c r="V537" s="48"/>
      <c r="W537" s="48"/>
      <c r="X537" s="48"/>
      <c r="Y537" s="48"/>
      <c r="Z537" s="48"/>
      <c r="AA537" s="48"/>
      <c r="AB537" s="48"/>
      <c r="AC537" s="1388" t="s">
        <v>591</v>
      </c>
      <c r="AD537" s="1389"/>
      <c r="AE537" s="1389"/>
      <c r="AF537" s="1389"/>
      <c r="AG537" s="38" t="s">
        <v>402</v>
      </c>
      <c r="AH537" s="1426"/>
      <c r="AI537" s="1426"/>
      <c r="AJ537" s="1426"/>
      <c r="AK537" s="1427"/>
      <c r="AZ537" s="3"/>
      <c r="BA537" s="3"/>
      <c r="BB537" s="3"/>
      <c r="BC537" s="3"/>
      <c r="BD537" s="3"/>
      <c r="BE537" s="3"/>
      <c r="BF537" s="3"/>
      <c r="BG537" s="3"/>
      <c r="BH537" s="3"/>
      <c r="BI537" s="3"/>
      <c r="BJ537" s="3"/>
      <c r="BK537" s="3"/>
      <c r="BL537" s="3"/>
      <c r="BM537" s="3"/>
      <c r="BN537" s="3" t="s">
        <v>2130</v>
      </c>
    </row>
    <row r="538" spans="1:66" ht="13.05" customHeight="1">
      <c r="B538" s="1398"/>
      <c r="C538" s="1399"/>
      <c r="D538" s="1399"/>
      <c r="E538" s="1399"/>
      <c r="F538" s="1399"/>
      <c r="G538" s="1399"/>
      <c r="H538" s="1400"/>
      <c r="I538" s="42" t="s">
        <v>562</v>
      </c>
      <c r="J538" s="42"/>
      <c r="K538" s="42"/>
      <c r="L538" s="42"/>
      <c r="M538" s="42"/>
      <c r="N538" s="42"/>
      <c r="O538" s="42"/>
      <c r="P538" s="42"/>
      <c r="Q538" s="42"/>
      <c r="R538" s="42"/>
      <c r="S538" s="42"/>
      <c r="T538" s="42"/>
      <c r="U538" s="42"/>
      <c r="V538" s="42"/>
      <c r="W538" s="42"/>
      <c r="AC538" s="1388" t="s">
        <v>591</v>
      </c>
      <c r="AD538" s="1389"/>
      <c r="AE538" s="1389"/>
      <c r="AF538" s="1389"/>
      <c r="AG538" s="38" t="s">
        <v>402</v>
      </c>
      <c r="AH538" s="1426"/>
      <c r="AI538" s="1426"/>
      <c r="AJ538" s="1426"/>
      <c r="AK538" s="1427"/>
      <c r="AZ538" s="3"/>
      <c r="BA538" s="3"/>
      <c r="BB538" s="3"/>
      <c r="BC538" s="3"/>
      <c r="BD538" s="3"/>
      <c r="BE538" s="3"/>
      <c r="BF538" s="3"/>
      <c r="BG538" s="3"/>
      <c r="BH538" s="3"/>
      <c r="BI538" s="3"/>
      <c r="BJ538" s="3"/>
      <c r="BK538" s="3"/>
      <c r="BL538" s="3"/>
      <c r="BM538" s="3"/>
      <c r="BN538" s="3"/>
    </row>
    <row r="539" spans="1:66" ht="13.05" customHeight="1">
      <c r="B539" s="1398"/>
      <c r="C539" s="1399"/>
      <c r="D539" s="1399"/>
      <c r="E539" s="1399"/>
      <c r="F539" s="1399"/>
      <c r="G539" s="1399"/>
      <c r="H539" s="1400"/>
      <c r="I539" t="s">
        <v>563</v>
      </c>
      <c r="AC539" s="1388">
        <v>10</v>
      </c>
      <c r="AD539" s="1389"/>
      <c r="AE539" s="1389"/>
      <c r="AF539" s="1389"/>
      <c r="AG539" s="13" t="s">
        <v>402</v>
      </c>
      <c r="AH539" s="1426">
        <v>2025</v>
      </c>
      <c r="AI539" s="1426"/>
      <c r="AJ539" s="1426"/>
      <c r="AK539" s="1427"/>
      <c r="AZ539" s="3"/>
      <c r="BA539" s="3"/>
      <c r="BB539" s="3"/>
      <c r="BC539" s="3"/>
      <c r="BD539" s="3"/>
      <c r="BE539" s="3"/>
      <c r="BF539" s="3"/>
      <c r="BG539" s="3"/>
      <c r="BH539" s="3"/>
      <c r="BI539" s="3"/>
      <c r="BJ539" s="3"/>
      <c r="BK539" s="3"/>
      <c r="BL539" s="3"/>
      <c r="BM539" s="3"/>
      <c r="BN539" s="3"/>
    </row>
    <row r="540" spans="1:66" ht="13.05" customHeight="1">
      <c r="B540" s="1398"/>
      <c r="C540" s="1399"/>
      <c r="D540" s="1399"/>
      <c r="E540" s="1399"/>
      <c r="F540" s="1399"/>
      <c r="G540" s="1399"/>
      <c r="H540" s="1400"/>
      <c r="I540" t="s">
        <v>564</v>
      </c>
      <c r="AC540" s="1388">
        <v>12</v>
      </c>
      <c r="AD540" s="1389"/>
      <c r="AE540" s="1389"/>
      <c r="AF540" s="1389"/>
      <c r="AG540" s="38" t="s">
        <v>402</v>
      </c>
      <c r="AH540" s="1426">
        <v>2026</v>
      </c>
      <c r="AI540" s="1426"/>
      <c r="AJ540" s="1426"/>
      <c r="AK540" s="1427"/>
      <c r="AZ540" s="3"/>
      <c r="BA540" s="3"/>
      <c r="BB540" s="3"/>
      <c r="BC540" s="3"/>
      <c r="BD540" s="3"/>
      <c r="BE540" s="3"/>
      <c r="BF540" s="3"/>
      <c r="BG540" s="3"/>
      <c r="BH540" s="3"/>
      <c r="BI540" s="3"/>
      <c r="BJ540" s="3"/>
      <c r="BK540" s="3"/>
      <c r="BL540" s="3"/>
      <c r="BM540" s="3"/>
      <c r="BN540" s="3"/>
    </row>
    <row r="541" spans="1:66" ht="13.05" customHeight="1">
      <c r="B541" s="1398"/>
      <c r="C541" s="1399"/>
      <c r="D541" s="1399"/>
      <c r="E541" s="1399"/>
      <c r="F541" s="1399"/>
      <c r="G541" s="1399"/>
      <c r="H541" s="1400"/>
      <c r="I541" t="s">
        <v>565</v>
      </c>
      <c r="AC541" s="1388">
        <v>12</v>
      </c>
      <c r="AD541" s="1389"/>
      <c r="AE541" s="1389"/>
      <c r="AF541" s="1389"/>
      <c r="AG541" s="38" t="s">
        <v>402</v>
      </c>
      <c r="AH541" s="1426">
        <v>2026</v>
      </c>
      <c r="AI541" s="1426"/>
      <c r="AJ541" s="1426"/>
      <c r="AK541" s="1427"/>
      <c r="AZ541" s="3"/>
      <c r="BA541" s="3"/>
      <c r="BB541" s="3"/>
      <c r="BC541" s="3"/>
      <c r="BD541" s="3"/>
      <c r="BE541" s="3"/>
      <c r="BF541" s="3"/>
      <c r="BG541" s="3"/>
      <c r="BH541" s="3"/>
      <c r="BI541" s="3"/>
      <c r="BJ541" s="3"/>
      <c r="BK541" s="3"/>
      <c r="BL541" s="3"/>
      <c r="BM541" s="3"/>
      <c r="BN541" s="3"/>
    </row>
    <row r="542" spans="1:66" ht="13.05" customHeight="1">
      <c r="B542" s="1401"/>
      <c r="C542" s="1402"/>
      <c r="D542" s="1402"/>
      <c r="E542" s="1402"/>
      <c r="F542" s="1402"/>
      <c r="G542" s="1402"/>
      <c r="H542" s="1403"/>
      <c r="I542" s="48" t="s">
        <v>451</v>
      </c>
      <c r="J542" s="48"/>
      <c r="K542" s="48"/>
      <c r="L542" s="48"/>
      <c r="M542" s="48"/>
      <c r="N542" s="48"/>
      <c r="O542" s="48"/>
      <c r="P542" s="48"/>
      <c r="Q542" s="48"/>
      <c r="R542" s="48"/>
      <c r="S542" s="48"/>
      <c r="T542" s="48"/>
      <c r="U542" s="48"/>
      <c r="V542" s="48"/>
      <c r="W542" s="48"/>
      <c r="X542" s="48"/>
      <c r="Y542" s="48"/>
      <c r="Z542" s="48"/>
      <c r="AA542" s="48"/>
      <c r="AB542" s="48"/>
      <c r="AC542" s="1388">
        <v>1</v>
      </c>
      <c r="AD542" s="1389"/>
      <c r="AE542" s="1389"/>
      <c r="AF542" s="1389"/>
      <c r="AG542" s="38" t="s">
        <v>402</v>
      </c>
      <c r="AH542" s="1426">
        <v>2026</v>
      </c>
      <c r="AI542" s="1426"/>
      <c r="AJ542" s="1426"/>
      <c r="AK542" s="1427"/>
      <c r="BB542" s="3"/>
      <c r="BC542" s="3"/>
      <c r="BD542" s="3"/>
      <c r="BE542" s="3"/>
      <c r="BF542" s="3"/>
      <c r="BG542" s="3"/>
      <c r="BH542" s="3" t="s">
        <v>112</v>
      </c>
      <c r="BI542" s="3" t="str">
        <f>N649</f>
        <v>Yes</v>
      </c>
      <c r="BJ542" s="3"/>
      <c r="BK542" s="3"/>
      <c r="BL542" s="3"/>
      <c r="BM542" s="3"/>
      <c r="BN542" s="3"/>
    </row>
    <row r="543" spans="1:66" ht="13.0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05" customHeight="1">
      <c r="A544" s="1269" t="s">
        <v>543</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3.05"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318</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2102</v>
      </c>
      <c r="AC549" s="98"/>
      <c r="BB549" s="3"/>
      <c r="BC549" s="3"/>
      <c r="BD549" s="3"/>
      <c r="BE549" s="3"/>
      <c r="BF549" s="3"/>
      <c r="BG549" s="3"/>
      <c r="BH549" s="3"/>
      <c r="BI549" s="3"/>
    </row>
    <row r="550" spans="1:61" ht="13.05" customHeight="1">
      <c r="B550" s="513"/>
      <c r="BB550" s="3"/>
      <c r="BC550" s="3"/>
      <c r="BD550" s="3"/>
      <c r="BE550" s="3"/>
      <c r="BF550" s="3"/>
      <c r="BG550" s="3"/>
      <c r="BH550" s="3" t="s">
        <v>119</v>
      </c>
      <c r="BI550" s="3" t="str">
        <f>N657</f>
        <v>Yes</v>
      </c>
    </row>
    <row r="551" spans="1:61" ht="13.05" customHeight="1">
      <c r="B551" s="1395" t="s">
        <v>2104</v>
      </c>
      <c r="C551" s="1396"/>
      <c r="D551" s="1396"/>
      <c r="E551" s="1396"/>
      <c r="F551" s="1396"/>
      <c r="G551" s="1396"/>
      <c r="H551" s="1396"/>
      <c r="I551" s="1396"/>
      <c r="J551" s="1396"/>
      <c r="K551" s="1396"/>
      <c r="L551" s="1397"/>
      <c r="M551" s="1395" t="s">
        <v>2105</v>
      </c>
      <c r="N551" s="1396"/>
      <c r="O551" s="1396"/>
      <c r="P551" s="1397"/>
      <c r="Q551" s="1395" t="s">
        <v>2131</v>
      </c>
      <c r="R551" s="1396"/>
      <c r="S551" s="1397"/>
      <c r="T551" s="1395" t="s">
        <v>2132</v>
      </c>
      <c r="U551" s="1396"/>
      <c r="V551" s="1397"/>
      <c r="W551" s="1395" t="s">
        <v>453</v>
      </c>
      <c r="X551" s="1396"/>
      <c r="Y551" s="1397"/>
      <c r="Z551" s="1395" t="s">
        <v>1852</v>
      </c>
      <c r="AA551" s="1396"/>
      <c r="AB551" s="1396"/>
      <c r="AC551" s="1396"/>
      <c r="AD551" s="1397"/>
      <c r="AE551" s="1395" t="s">
        <v>1676</v>
      </c>
      <c r="AF551" s="1396"/>
      <c r="AG551" s="1396"/>
      <c r="AH551" s="1397"/>
      <c r="AI551" s="1395" t="s">
        <v>1677</v>
      </c>
      <c r="AJ551" s="1396"/>
      <c r="AK551" s="1396"/>
      <c r="AL551" s="1397"/>
      <c r="AM551" s="1395" t="s">
        <v>454</v>
      </c>
      <c r="AN551" s="1396"/>
      <c r="AO551" s="1396"/>
      <c r="AP551" s="1396"/>
      <c r="AQ551" s="1396"/>
      <c r="AR551" s="1396"/>
      <c r="AS551" s="1397"/>
      <c r="BB551" s="3"/>
      <c r="BC551" s="3"/>
      <c r="BD551" s="3"/>
      <c r="BE551" s="3"/>
      <c r="BF551" s="3"/>
      <c r="BG551" s="3"/>
      <c r="BH551" s="3" t="s">
        <v>581</v>
      </c>
      <c r="BI551" s="3" t="str">
        <f>AG657</f>
        <v>Yes</v>
      </c>
    </row>
    <row r="552" spans="1:61" ht="13.05"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3.05"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3.05" customHeight="1">
      <c r="B554" s="51" t="s">
        <v>112</v>
      </c>
      <c r="C554" s="1438" t="s">
        <v>2697</v>
      </c>
      <c r="D554" s="1438"/>
      <c r="E554" s="1438"/>
      <c r="F554" s="1438"/>
      <c r="G554" s="1438"/>
      <c r="H554" s="1438"/>
      <c r="I554" s="1438"/>
      <c r="J554" s="1438"/>
      <c r="K554" s="1438"/>
      <c r="L554" s="1438"/>
      <c r="M554" s="1438" t="s">
        <v>2121</v>
      </c>
      <c r="N554" s="1438"/>
      <c r="O554" s="1438"/>
      <c r="P554" s="1438"/>
      <c r="Q554" s="1424">
        <v>24</v>
      </c>
      <c r="R554" s="1424"/>
      <c r="S554" s="1425"/>
      <c r="T554" s="1423"/>
      <c r="U554" s="1424"/>
      <c r="V554" s="1425"/>
      <c r="W554" s="1420">
        <v>6.8500000000000005E-2</v>
      </c>
      <c r="X554" s="1421"/>
      <c r="Y554" s="1422"/>
      <c r="Z554" s="1429" t="s">
        <v>2704</v>
      </c>
      <c r="AA554" s="1429"/>
      <c r="AB554" s="1429"/>
      <c r="AC554" s="1429"/>
      <c r="AD554" s="1429"/>
      <c r="AE554" s="1411">
        <v>1</v>
      </c>
      <c r="AF554" s="1412"/>
      <c r="AG554" s="1412"/>
      <c r="AH554" s="1413"/>
      <c r="AI554" s="1435"/>
      <c r="AJ554" s="1436"/>
      <c r="AK554" s="1436"/>
      <c r="AL554" s="1437"/>
      <c r="AM554" s="1464">
        <v>21300000</v>
      </c>
      <c r="AN554" s="1465"/>
      <c r="AO554" s="1465"/>
      <c r="AP554" s="1465"/>
      <c r="AQ554" s="1465"/>
      <c r="AR554" s="1465"/>
      <c r="AS554" s="1466"/>
      <c r="AT554" s="1150"/>
      <c r="AU554" s="1149"/>
      <c r="BB554" s="3"/>
      <c r="BC554" s="3"/>
      <c r="BD554" s="3"/>
      <c r="BE554" s="3"/>
      <c r="BF554" s="3"/>
      <c r="BG554" s="3"/>
      <c r="BH554" s="3"/>
      <c r="BI554" s="3"/>
    </row>
    <row r="555" spans="1:61" ht="13.05" customHeight="1">
      <c r="B555" s="52" t="s">
        <v>113</v>
      </c>
      <c r="C555" s="1439" t="s">
        <v>2718</v>
      </c>
      <c r="D555" s="1439"/>
      <c r="E555" s="1439"/>
      <c r="F555" s="1439"/>
      <c r="G555" s="1439"/>
      <c r="H555" s="1439"/>
      <c r="I555" s="1439"/>
      <c r="J555" s="1439"/>
      <c r="K555" s="1439"/>
      <c r="L555" s="1439"/>
      <c r="M555" s="1438" t="s">
        <v>2118</v>
      </c>
      <c r="N555" s="1438"/>
      <c r="O555" s="1438"/>
      <c r="P555" s="1438"/>
      <c r="Q555" s="1423">
        <v>660</v>
      </c>
      <c r="R555" s="1424"/>
      <c r="S555" s="1425"/>
      <c r="T555" s="1423"/>
      <c r="U555" s="1424"/>
      <c r="V555" s="1425"/>
      <c r="W555" s="1420">
        <v>4.53E-2</v>
      </c>
      <c r="X555" s="1421"/>
      <c r="Y555" s="1422"/>
      <c r="Z555" s="1429" t="s">
        <v>2705</v>
      </c>
      <c r="AA555" s="1429"/>
      <c r="AB555" s="1429"/>
      <c r="AC555" s="1429"/>
      <c r="AD555" s="1429"/>
      <c r="AE555" s="1411">
        <v>3</v>
      </c>
      <c r="AF555" s="1412"/>
      <c r="AG555" s="1412"/>
      <c r="AH555" s="1413"/>
      <c r="AI555" s="1435"/>
      <c r="AJ555" s="1436"/>
      <c r="AK555" s="1436"/>
      <c r="AL555" s="1437"/>
      <c r="AM555" s="1464">
        <v>9712774</v>
      </c>
      <c r="AN555" s="1465"/>
      <c r="AO555" s="1465"/>
      <c r="AP555" s="1465"/>
      <c r="AQ555" s="1465"/>
      <c r="AR555" s="1465"/>
      <c r="AS555" s="1466"/>
      <c r="AT555" s="1150" t="str">
        <f>IF(AND(NOT(C554=""),C555="",NOT(C556="")),"!","")</f>
        <v/>
      </c>
      <c r="AU555" s="1149"/>
      <c r="BB555" s="3"/>
      <c r="BC555" s="3"/>
      <c r="BD555" s="3"/>
      <c r="BE555" s="3"/>
      <c r="BF555" s="3"/>
      <c r="BG555" s="3"/>
      <c r="BH555" s="3"/>
      <c r="BI555" s="3"/>
    </row>
    <row r="556" spans="1:61" ht="13.05" customHeight="1">
      <c r="B556" s="52" t="s">
        <v>119</v>
      </c>
      <c r="C556" s="1439" t="s">
        <v>2698</v>
      </c>
      <c r="D556" s="1439"/>
      <c r="E556" s="1439"/>
      <c r="F556" s="1439"/>
      <c r="G556" s="1439"/>
      <c r="H556" s="1439"/>
      <c r="I556" s="1439"/>
      <c r="J556" s="1439"/>
      <c r="K556" s="1439"/>
      <c r="L556" s="1439"/>
      <c r="M556" s="1438" t="s">
        <v>2118</v>
      </c>
      <c r="N556" s="1438"/>
      <c r="O556" s="1438"/>
      <c r="P556" s="1438"/>
      <c r="Q556" s="1423"/>
      <c r="R556" s="1424"/>
      <c r="S556" s="1425"/>
      <c r="T556" s="1423"/>
      <c r="U556" s="1424"/>
      <c r="V556" s="1425"/>
      <c r="W556" s="1420"/>
      <c r="X556" s="1421"/>
      <c r="Y556" s="1422"/>
      <c r="Z556" s="1429" t="s">
        <v>591</v>
      </c>
      <c r="AA556" s="1429"/>
      <c r="AB556" s="1429"/>
      <c r="AC556" s="1429"/>
      <c r="AD556" s="1429"/>
      <c r="AE556" s="1411"/>
      <c r="AF556" s="1412"/>
      <c r="AG556" s="1412"/>
      <c r="AH556" s="1413"/>
      <c r="AI556" s="1435"/>
      <c r="AJ556" s="1436"/>
      <c r="AK556" s="1436"/>
      <c r="AL556" s="1437"/>
      <c r="AM556" s="1464">
        <v>919258</v>
      </c>
      <c r="AN556" s="1465"/>
      <c r="AO556" s="1465"/>
      <c r="AP556" s="1465"/>
      <c r="AQ556" s="1465"/>
      <c r="AR556" s="1465"/>
      <c r="AS556" s="1466"/>
      <c r="AT556" s="1150" t="str">
        <f>IF(AND(NOT(C555=""),C556="",NOT(C557="")),"!","")</f>
        <v/>
      </c>
      <c r="AU556" s="1149"/>
      <c r="BB556" s="3"/>
      <c r="BC556" s="3"/>
      <c r="BD556" s="3"/>
      <c r="BE556" s="3"/>
      <c r="BF556" s="3"/>
      <c r="BG556" s="3"/>
      <c r="BH556" s="3"/>
      <c r="BI556" s="3"/>
    </row>
    <row r="557" spans="1:61" ht="13.05" customHeight="1">
      <c r="B557" s="52" t="s">
        <v>581</v>
      </c>
      <c r="C557" s="1439" t="s">
        <v>2699</v>
      </c>
      <c r="D557" s="1439"/>
      <c r="E557" s="1439"/>
      <c r="F557" s="1439"/>
      <c r="G557" s="1439"/>
      <c r="H557" s="1439"/>
      <c r="I557" s="1439"/>
      <c r="J557" s="1439"/>
      <c r="K557" s="1439"/>
      <c r="L557" s="1439"/>
      <c r="M557" s="1438" t="s">
        <v>2117</v>
      </c>
      <c r="N557" s="1438"/>
      <c r="O557" s="1438"/>
      <c r="P557" s="1438"/>
      <c r="Q557" s="1423">
        <v>660</v>
      </c>
      <c r="R557" s="1424"/>
      <c r="S557" s="1425"/>
      <c r="T557" s="1423"/>
      <c r="U557" s="1424"/>
      <c r="V557" s="1425"/>
      <c r="W557" s="1420">
        <v>4.53E-2</v>
      </c>
      <c r="X557" s="1421"/>
      <c r="Y557" s="1422"/>
      <c r="Z557" s="1429" t="s">
        <v>2705</v>
      </c>
      <c r="AA557" s="1429"/>
      <c r="AB557" s="1429"/>
      <c r="AC557" s="1429"/>
      <c r="AD557" s="1429"/>
      <c r="AE557" s="1411">
        <v>2</v>
      </c>
      <c r="AF557" s="1412"/>
      <c r="AG557" s="1412"/>
      <c r="AH557" s="1413"/>
      <c r="AI557" s="1435"/>
      <c r="AJ557" s="1436"/>
      <c r="AK557" s="1436"/>
      <c r="AL557" s="1437"/>
      <c r="AM557" s="1464">
        <v>3805046</v>
      </c>
      <c r="AN557" s="1465"/>
      <c r="AO557" s="1465"/>
      <c r="AP557" s="1465"/>
      <c r="AQ557" s="1465"/>
      <c r="AR557" s="1465"/>
      <c r="AS557" s="1466"/>
      <c r="AT557" s="1150" t="str">
        <f>IF(AND(NOT(C556=""),C557="",NOT(C558="")),"!","")</f>
        <v/>
      </c>
      <c r="AU557" s="1149"/>
      <c r="BB557" s="3"/>
      <c r="BC557" s="3"/>
      <c r="BD557" s="3"/>
      <c r="BE557" s="3"/>
      <c r="BF557" s="3"/>
      <c r="BG557" s="3"/>
      <c r="BH557" s="3"/>
      <c r="BI557" s="3"/>
    </row>
    <row r="558" spans="1:61" ht="13.05" customHeight="1">
      <c r="B558" s="52" t="s">
        <v>763</v>
      </c>
      <c r="C558" s="1439" t="s">
        <v>2700</v>
      </c>
      <c r="D558" s="1439"/>
      <c r="E558" s="1439"/>
      <c r="F558" s="1439"/>
      <c r="G558" s="1439"/>
      <c r="H558" s="1439"/>
      <c r="I558" s="1439"/>
      <c r="J558" s="1439"/>
      <c r="K558" s="1439"/>
      <c r="L558" s="1439"/>
      <c r="M558" s="1438" t="s">
        <v>2106</v>
      </c>
      <c r="N558" s="1438"/>
      <c r="O558" s="1438"/>
      <c r="P558" s="1438"/>
      <c r="Q558" s="1423"/>
      <c r="R558" s="1424"/>
      <c r="S558" s="1425"/>
      <c r="T558" s="1423"/>
      <c r="U558" s="1424"/>
      <c r="V558" s="1425"/>
      <c r="W558" s="1420"/>
      <c r="X558" s="1421"/>
      <c r="Y558" s="1422"/>
      <c r="Z558" s="1429" t="s">
        <v>591</v>
      </c>
      <c r="AA558" s="1429"/>
      <c r="AB558" s="1429"/>
      <c r="AC558" s="1429"/>
      <c r="AD558" s="1429"/>
      <c r="AE558" s="1411"/>
      <c r="AF558" s="1412"/>
      <c r="AG558" s="1412"/>
      <c r="AH558" s="1413"/>
      <c r="AI558" s="1435"/>
      <c r="AJ558" s="1436"/>
      <c r="AK558" s="1436"/>
      <c r="AL558" s="1437"/>
      <c r="AM558" s="1464">
        <v>360126</v>
      </c>
      <c r="AN558" s="1465"/>
      <c r="AO558" s="1465"/>
      <c r="AP558" s="1465"/>
      <c r="AQ558" s="1465"/>
      <c r="AR558" s="1465"/>
      <c r="AS558" s="1466"/>
      <c r="AT558" s="1150" t="str">
        <f t="shared" ref="AT558:AT565" si="0">IF(AND(NOT(C557=""),C558="",NOT(C559="")),"!","")</f>
        <v/>
      </c>
      <c r="AU558" s="1149"/>
      <c r="BB558" s="3"/>
      <c r="BC558" s="3"/>
      <c r="BD558" s="3"/>
      <c r="BE558" s="3"/>
      <c r="BF558" s="3"/>
      <c r="BG558" s="3"/>
      <c r="BH558" s="3" t="s">
        <v>763</v>
      </c>
      <c r="BI558" s="3" t="str">
        <f>N665</f>
        <v>Yes</v>
      </c>
    </row>
    <row r="559" spans="1:61" ht="13.05" customHeight="1">
      <c r="B559" s="52" t="s">
        <v>584</v>
      </c>
      <c r="C559" s="1439" t="s">
        <v>2324</v>
      </c>
      <c r="D559" s="1439"/>
      <c r="E559" s="1439"/>
      <c r="F559" s="1439"/>
      <c r="G559" s="1439"/>
      <c r="H559" s="1439"/>
      <c r="I559" s="1439"/>
      <c r="J559" s="1439"/>
      <c r="K559" s="1439"/>
      <c r="L559" s="1439"/>
      <c r="M559" s="1438" t="s">
        <v>2108</v>
      </c>
      <c r="N559" s="1438"/>
      <c r="O559" s="1438"/>
      <c r="P559" s="1438"/>
      <c r="Q559" s="1423"/>
      <c r="R559" s="1424"/>
      <c r="S559" s="1425"/>
      <c r="T559" s="1423"/>
      <c r="U559" s="1424"/>
      <c r="V559" s="1425"/>
      <c r="W559" s="1420"/>
      <c r="X559" s="1421"/>
      <c r="Y559" s="1422"/>
      <c r="Z559" s="1429" t="s">
        <v>591</v>
      </c>
      <c r="AA559" s="1429"/>
      <c r="AB559" s="1429"/>
      <c r="AC559" s="1429"/>
      <c r="AD559" s="1429"/>
      <c r="AE559" s="1411"/>
      <c r="AF559" s="1412"/>
      <c r="AG559" s="1412"/>
      <c r="AH559" s="1413"/>
      <c r="AI559" s="1435"/>
      <c r="AJ559" s="1436"/>
      <c r="AK559" s="1436"/>
      <c r="AL559" s="1437"/>
      <c r="AM559" s="1464">
        <v>3481500</v>
      </c>
      <c r="AN559" s="1465"/>
      <c r="AO559" s="1465"/>
      <c r="AP559" s="1465"/>
      <c r="AQ559" s="1465"/>
      <c r="AR559" s="1465"/>
      <c r="AS559" s="1466"/>
      <c r="AT559" s="1150" t="str">
        <f t="shared" si="0"/>
        <v/>
      </c>
      <c r="AU559" s="1149"/>
      <c r="BB559" s="3"/>
      <c r="BC559" s="3"/>
      <c r="BD559" s="3"/>
      <c r="BE559" s="3"/>
      <c r="BF559" s="3"/>
      <c r="BG559" s="3"/>
      <c r="BH559" s="3" t="s">
        <v>584</v>
      </c>
      <c r="BI559" s="3" t="str">
        <f>AG665</f>
        <v>Yes</v>
      </c>
    </row>
    <row r="560" spans="1:61" ht="13.05" customHeight="1">
      <c r="B560" s="52" t="s">
        <v>455</v>
      </c>
      <c r="C560" s="1439" t="s">
        <v>2701</v>
      </c>
      <c r="D560" s="1439"/>
      <c r="E560" s="1439"/>
      <c r="F560" s="1439"/>
      <c r="G560" s="1439"/>
      <c r="H560" s="1439"/>
      <c r="I560" s="1439"/>
      <c r="J560" s="1439"/>
      <c r="K560" s="1439"/>
      <c r="L560" s="1439"/>
      <c r="M560" s="1438" t="s">
        <v>2125</v>
      </c>
      <c r="N560" s="1438"/>
      <c r="O560" s="1438"/>
      <c r="P560" s="1438"/>
      <c r="Q560" s="1423"/>
      <c r="R560" s="1424"/>
      <c r="S560" s="1425"/>
      <c r="T560" s="1423"/>
      <c r="U560" s="1424"/>
      <c r="V560" s="1425"/>
      <c r="W560" s="1420"/>
      <c r="X560" s="1421"/>
      <c r="Y560" s="1422"/>
      <c r="Z560" s="1429" t="s">
        <v>591</v>
      </c>
      <c r="AA560" s="1429"/>
      <c r="AB560" s="1429"/>
      <c r="AC560" s="1429"/>
      <c r="AD560" s="1429"/>
      <c r="AE560" s="1411"/>
      <c r="AF560" s="1412"/>
      <c r="AG560" s="1412"/>
      <c r="AH560" s="1413"/>
      <c r="AI560" s="1435"/>
      <c r="AJ560" s="1436"/>
      <c r="AK560" s="1436"/>
      <c r="AL560" s="1437"/>
      <c r="AM560" s="1464">
        <v>1082532</v>
      </c>
      <c r="AN560" s="1465"/>
      <c r="AO560" s="1465"/>
      <c r="AP560" s="1465"/>
      <c r="AQ560" s="1465"/>
      <c r="AR560" s="1465"/>
      <c r="AS560" s="1466"/>
      <c r="AT560" s="1150" t="str">
        <f t="shared" si="0"/>
        <v/>
      </c>
      <c r="AU560" s="1149"/>
      <c r="BB560" s="3"/>
      <c r="BC560" s="3"/>
      <c r="BD560" s="3"/>
      <c r="BE560" s="3"/>
      <c r="BF560" s="3"/>
      <c r="BG560" s="3"/>
      <c r="BH560" s="3"/>
      <c r="BI560" s="3"/>
    </row>
    <row r="561" spans="1:61" ht="13.05" customHeight="1">
      <c r="B561" s="52" t="s">
        <v>456</v>
      </c>
      <c r="C561" s="1439" t="s">
        <v>2702</v>
      </c>
      <c r="D561" s="1439"/>
      <c r="E561" s="1439"/>
      <c r="F561" s="1439"/>
      <c r="G561" s="1439"/>
      <c r="H561" s="1439"/>
      <c r="I561" s="1439"/>
      <c r="J561" s="1439"/>
      <c r="K561" s="1439"/>
      <c r="L561" s="1439"/>
      <c r="M561" s="1438" t="s">
        <v>2112</v>
      </c>
      <c r="N561" s="1438"/>
      <c r="O561" s="1438"/>
      <c r="P561" s="1438"/>
      <c r="Q561" s="1423"/>
      <c r="R561" s="1424"/>
      <c r="S561" s="1425"/>
      <c r="T561" s="1423"/>
      <c r="U561" s="1424"/>
      <c r="V561" s="1425"/>
      <c r="W561" s="1420"/>
      <c r="X561" s="1421"/>
      <c r="Y561" s="1422"/>
      <c r="Z561" s="1429" t="s">
        <v>591</v>
      </c>
      <c r="AA561" s="1429"/>
      <c r="AB561" s="1429"/>
      <c r="AC561" s="1429"/>
      <c r="AD561" s="1429"/>
      <c r="AE561" s="1411"/>
      <c r="AF561" s="1412"/>
      <c r="AG561" s="1412"/>
      <c r="AH561" s="1413"/>
      <c r="AI561" s="1435"/>
      <c r="AJ561" s="1436"/>
      <c r="AK561" s="1436"/>
      <c r="AL561" s="1437"/>
      <c r="AM561" s="1464">
        <v>1281842</v>
      </c>
      <c r="AN561" s="1465"/>
      <c r="AO561" s="1465"/>
      <c r="AP561" s="1465"/>
      <c r="AQ561" s="1465"/>
      <c r="AR561" s="1465"/>
      <c r="AS561" s="1466"/>
      <c r="AT561" s="1150" t="str">
        <f t="shared" si="0"/>
        <v/>
      </c>
      <c r="AU561" s="1149"/>
      <c r="BB561" s="3"/>
      <c r="BC561" s="3"/>
      <c r="BD561" s="3"/>
      <c r="BE561" s="3"/>
      <c r="BF561" s="3"/>
      <c r="BG561" s="3"/>
      <c r="BH561" s="3"/>
      <c r="BI561" s="3"/>
    </row>
    <row r="562" spans="1:61" ht="13.05" customHeight="1">
      <c r="B562" s="52" t="s">
        <v>461</v>
      </c>
      <c r="C562" s="1439" t="s">
        <v>2703</v>
      </c>
      <c r="D562" s="1439"/>
      <c r="E562" s="1439"/>
      <c r="F562" s="1439"/>
      <c r="G562" s="1439"/>
      <c r="H562" s="1439"/>
      <c r="I562" s="1439"/>
      <c r="J562" s="1439"/>
      <c r="K562" s="1439"/>
      <c r="L562" s="1439"/>
      <c r="M562" s="1438" t="s">
        <v>2107</v>
      </c>
      <c r="N562" s="1438"/>
      <c r="O562" s="1438"/>
      <c r="P562" s="1438"/>
      <c r="Q562" s="1423"/>
      <c r="R562" s="1424"/>
      <c r="S562" s="1425"/>
      <c r="T562" s="1423"/>
      <c r="U562" s="1424"/>
      <c r="V562" s="1425"/>
      <c r="W562" s="1420"/>
      <c r="X562" s="1421"/>
      <c r="Y562" s="1422"/>
      <c r="Z562" s="1429" t="s">
        <v>591</v>
      </c>
      <c r="AA562" s="1429"/>
      <c r="AB562" s="1429"/>
      <c r="AC562" s="1429"/>
      <c r="AD562" s="1429"/>
      <c r="AE562" s="1411"/>
      <c r="AF562" s="1412"/>
      <c r="AG562" s="1412"/>
      <c r="AH562" s="1413"/>
      <c r="AI562" s="1435"/>
      <c r="AJ562" s="1436"/>
      <c r="AK562" s="1436"/>
      <c r="AL562" s="1437"/>
      <c r="AM562" s="1464">
        <f>1321762+1</f>
        <v>1321763</v>
      </c>
      <c r="AN562" s="1465"/>
      <c r="AO562" s="1465"/>
      <c r="AP562" s="1465"/>
      <c r="AQ562" s="1465"/>
      <c r="AR562" s="1465"/>
      <c r="AS562" s="1466"/>
      <c r="AT562" s="1150" t="str">
        <f t="shared" si="0"/>
        <v/>
      </c>
      <c r="AU562" s="1149"/>
      <c r="BB562" s="3"/>
      <c r="BC562" s="3"/>
      <c r="BD562" s="3"/>
      <c r="BE562" s="3"/>
      <c r="BF562" s="3"/>
      <c r="BG562" s="3"/>
      <c r="BH562" s="3"/>
      <c r="BI562" s="3"/>
    </row>
    <row r="563" spans="1:61" ht="13.05" customHeight="1">
      <c r="B563" s="52" t="s">
        <v>646</v>
      </c>
      <c r="C563" s="1439"/>
      <c r="D563" s="1439"/>
      <c r="E563" s="1439"/>
      <c r="F563" s="1439"/>
      <c r="G563" s="1439"/>
      <c r="H563" s="1439"/>
      <c r="I563" s="1439"/>
      <c r="J563" s="1439"/>
      <c r="K563" s="1439"/>
      <c r="L563" s="1439"/>
      <c r="M563" s="1438" t="s">
        <v>1184</v>
      </c>
      <c r="N563" s="1438"/>
      <c r="O563" s="1438"/>
      <c r="P563" s="1438"/>
      <c r="Q563" s="1423"/>
      <c r="R563" s="1424"/>
      <c r="S563" s="1425"/>
      <c r="T563" s="1423"/>
      <c r="U563" s="1424"/>
      <c r="V563" s="1425"/>
      <c r="W563" s="1420"/>
      <c r="X563" s="1421"/>
      <c r="Y563" s="1422"/>
      <c r="Z563" s="1429" t="s">
        <v>1184</v>
      </c>
      <c r="AA563" s="1429"/>
      <c r="AB563" s="1429"/>
      <c r="AC563" s="1429"/>
      <c r="AD563" s="1429"/>
      <c r="AE563" s="1411"/>
      <c r="AF563" s="1412"/>
      <c r="AG563" s="1412"/>
      <c r="AH563" s="1413"/>
      <c r="AI563" s="1435"/>
      <c r="AJ563" s="1436"/>
      <c r="AK563" s="1436"/>
      <c r="AL563" s="1437"/>
      <c r="AM563" s="1464"/>
      <c r="AN563" s="1465"/>
      <c r="AO563" s="1465"/>
      <c r="AP563" s="1465"/>
      <c r="AQ563" s="1465"/>
      <c r="AR563" s="1465"/>
      <c r="AS563" s="1466"/>
      <c r="AT563" s="1150" t="str">
        <f t="shared" si="0"/>
        <v/>
      </c>
      <c r="BB563" s="3"/>
      <c r="BC563" s="3"/>
      <c r="BD563" s="3"/>
      <c r="BE563" s="3"/>
      <c r="BF563" s="3"/>
      <c r="BG563" s="3"/>
      <c r="BH563" s="3"/>
      <c r="BI563" s="3"/>
    </row>
    <row r="564" spans="1:61" ht="13.05" customHeight="1">
      <c r="B564" s="52" t="s">
        <v>361</v>
      </c>
      <c r="C564" s="1439"/>
      <c r="D564" s="1439"/>
      <c r="E564" s="1439"/>
      <c r="F564" s="1439"/>
      <c r="G564" s="1439"/>
      <c r="H564" s="1439"/>
      <c r="I564" s="1439"/>
      <c r="J564" s="1439"/>
      <c r="K564" s="1439"/>
      <c r="L564" s="1439"/>
      <c r="M564" s="1438" t="s">
        <v>1184</v>
      </c>
      <c r="N564" s="1438"/>
      <c r="O564" s="1438"/>
      <c r="P564" s="1438"/>
      <c r="Q564" s="1423"/>
      <c r="R564" s="1424"/>
      <c r="S564" s="1425"/>
      <c r="T564" s="1423"/>
      <c r="U564" s="1424"/>
      <c r="V564" s="1425"/>
      <c r="W564" s="1420"/>
      <c r="X564" s="1421"/>
      <c r="Y564" s="1422"/>
      <c r="Z564" s="1429" t="s">
        <v>1184</v>
      </c>
      <c r="AA564" s="1429"/>
      <c r="AB564" s="1429"/>
      <c r="AC564" s="1429"/>
      <c r="AD564" s="1429"/>
      <c r="AE564" s="1411"/>
      <c r="AF564" s="1412"/>
      <c r="AG564" s="1412"/>
      <c r="AH564" s="1413"/>
      <c r="AI564" s="1435"/>
      <c r="AJ564" s="1436"/>
      <c r="AK564" s="1436"/>
      <c r="AL564" s="1437"/>
      <c r="AM564" s="1464"/>
      <c r="AN564" s="1465"/>
      <c r="AO564" s="1465"/>
      <c r="AP564" s="1465"/>
      <c r="AQ564" s="1465"/>
      <c r="AR564" s="1465"/>
      <c r="AS564" s="1466"/>
      <c r="AT564" s="1150" t="str">
        <f t="shared" si="0"/>
        <v/>
      </c>
      <c r="BB564" s="3"/>
      <c r="BC564" s="3"/>
      <c r="BD564" s="3"/>
      <c r="BE564" s="3"/>
      <c r="BF564" s="3"/>
      <c r="BG564" s="3"/>
      <c r="BH564" s="3"/>
      <c r="BI564" s="3"/>
    </row>
    <row r="565" spans="1:61" ht="13.05" customHeight="1">
      <c r="B565" s="52" t="s">
        <v>362</v>
      </c>
      <c r="C565" s="1439"/>
      <c r="D565" s="1439"/>
      <c r="E565" s="1439"/>
      <c r="F565" s="1439"/>
      <c r="G565" s="1439"/>
      <c r="H565" s="1439"/>
      <c r="I565" s="1439"/>
      <c r="J565" s="1439"/>
      <c r="K565" s="1439"/>
      <c r="L565" s="1439"/>
      <c r="M565" s="1438" t="s">
        <v>1184</v>
      </c>
      <c r="N565" s="1438"/>
      <c r="O565" s="1438"/>
      <c r="P565" s="1438"/>
      <c r="Q565" s="1423"/>
      <c r="R565" s="1424"/>
      <c r="S565" s="1425"/>
      <c r="T565" s="1423"/>
      <c r="U565" s="1424"/>
      <c r="V565" s="1425"/>
      <c r="W565" s="1420"/>
      <c r="X565" s="1421"/>
      <c r="Y565" s="1422"/>
      <c r="Z565" s="1429" t="s">
        <v>1184</v>
      </c>
      <c r="AA565" s="1429"/>
      <c r="AB565" s="1429"/>
      <c r="AC565" s="1429"/>
      <c r="AD565" s="1429"/>
      <c r="AE565" s="1411"/>
      <c r="AF565" s="1412"/>
      <c r="AG565" s="1412"/>
      <c r="AH565" s="1413"/>
      <c r="AI565" s="1435"/>
      <c r="AJ565" s="1436"/>
      <c r="AK565" s="1436"/>
      <c r="AL565" s="1437"/>
      <c r="AM565" s="1464"/>
      <c r="AN565" s="1465"/>
      <c r="AO565" s="1465"/>
      <c r="AP565" s="1465"/>
      <c r="AQ565" s="1465"/>
      <c r="AR565" s="1465"/>
      <c r="AS565" s="1466"/>
      <c r="AT565" s="1150" t="str">
        <f t="shared" si="0"/>
        <v/>
      </c>
      <c r="BB565" s="3"/>
      <c r="BC565" s="3"/>
      <c r="BD565" s="3"/>
      <c r="BE565" s="3"/>
      <c r="BF565" s="3"/>
      <c r="BG565" s="3"/>
      <c r="BH565" s="3"/>
      <c r="BI565" s="3"/>
    </row>
    <row r="566" spans="1:61" ht="13.05"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1">
        <f>SUM(AM554:AS565)</f>
        <v>43264841</v>
      </c>
      <c r="AN566" s="1472"/>
      <c r="AO566" s="1472"/>
      <c r="AP566" s="1472"/>
      <c r="AQ566" s="1472"/>
      <c r="AR566" s="1472"/>
      <c r="AS566" s="1473"/>
      <c r="BB566" s="3"/>
      <c r="BC566" s="3"/>
      <c r="BD566" s="3"/>
      <c r="BE566" s="3"/>
      <c r="BF566" s="3"/>
      <c r="BG566" s="3"/>
      <c r="BH566" s="3" t="s">
        <v>455</v>
      </c>
      <c r="BI566" s="3" t="str">
        <f>N673</f>
        <v>Yes</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3.05" customHeight="1">
      <c r="A568" s="55" t="s">
        <v>112</v>
      </c>
      <c r="B568" t="s">
        <v>463</v>
      </c>
      <c r="G568" s="1482" t="str">
        <f>C554</f>
        <v>Citibank</v>
      </c>
      <c r="H568" s="1482"/>
      <c r="I568" s="1482"/>
      <c r="J568" s="1482"/>
      <c r="K568" s="1482"/>
      <c r="L568" s="1482"/>
      <c r="M568" s="1482"/>
      <c r="N568" s="1482"/>
      <c r="O568" s="1482"/>
      <c r="P568" s="1482"/>
      <c r="Q568" s="1482"/>
      <c r="R568" s="1482"/>
      <c r="S568" s="8"/>
      <c r="T568" s="55" t="s">
        <v>113</v>
      </c>
      <c r="U568" t="s">
        <v>463</v>
      </c>
      <c r="Z568" s="1482" t="str">
        <f>C555</f>
        <v>Seller Note</v>
      </c>
      <c r="AA568" s="1482"/>
      <c r="AB568" s="1482"/>
      <c r="AC568" s="1482"/>
      <c r="AD568" s="1482"/>
      <c r="AE568" s="1482"/>
      <c r="AF568" s="1482"/>
      <c r="AG568" s="1482"/>
      <c r="AH568" s="1482"/>
      <c r="AI568" s="1482"/>
      <c r="AJ568" s="1482"/>
      <c r="AK568" s="1482"/>
      <c r="BB568" s="3"/>
      <c r="BC568" s="3"/>
      <c r="BD568" s="3"/>
      <c r="BE568" s="3"/>
      <c r="BF568" s="3"/>
      <c r="BG568" s="3"/>
      <c r="BH568" s="3"/>
      <c r="BI568" s="3"/>
    </row>
    <row r="569" spans="1:61" ht="13.05" customHeight="1">
      <c r="A569" s="22"/>
      <c r="B569" t="s">
        <v>85</v>
      </c>
      <c r="G569" s="1406" t="s">
        <v>2706</v>
      </c>
      <c r="H569" s="1406"/>
      <c r="I569" s="1406"/>
      <c r="J569" s="1406"/>
      <c r="K569" s="1406"/>
      <c r="L569" s="1406"/>
      <c r="M569" s="1406"/>
      <c r="N569" s="1406"/>
      <c r="O569" s="1406"/>
      <c r="P569" s="1406"/>
      <c r="Q569" s="1406"/>
      <c r="R569" s="1406"/>
      <c r="S569" s="8"/>
      <c r="T569" s="22"/>
      <c r="U569" t="s">
        <v>85</v>
      </c>
      <c r="Z569" s="1406" t="s">
        <v>2620</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3.05" customHeight="1">
      <c r="A570" s="22"/>
      <c r="B570" t="s">
        <v>580</v>
      </c>
      <c r="G570" s="1406" t="s">
        <v>2707</v>
      </c>
      <c r="H570" s="1406"/>
      <c r="I570" s="1406"/>
      <c r="J570" s="1406"/>
      <c r="K570" s="1406"/>
      <c r="L570" s="1406"/>
      <c r="M570" s="1406"/>
      <c r="N570" s="1406"/>
      <c r="O570" s="1406"/>
      <c r="P570" s="1406"/>
      <c r="Q570" s="1406"/>
      <c r="R570" s="1406"/>
      <c r="T570" s="22"/>
      <c r="U570" t="s">
        <v>580</v>
      </c>
      <c r="Z570" s="1370" t="s">
        <v>2711</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3.05" customHeight="1">
      <c r="A571" s="22"/>
      <c r="B571" t="s">
        <v>17</v>
      </c>
      <c r="G571" s="1406" t="s">
        <v>2708</v>
      </c>
      <c r="H571" s="1406"/>
      <c r="I571" s="1406"/>
      <c r="J571" s="1406"/>
      <c r="K571" s="1406"/>
      <c r="L571" s="1406"/>
      <c r="M571" s="1406"/>
      <c r="N571" s="1406"/>
      <c r="O571" s="1406"/>
      <c r="P571" s="1406"/>
      <c r="Q571" s="1406"/>
      <c r="R571" s="1406"/>
      <c r="S571" s="8"/>
      <c r="T571" s="22"/>
      <c r="U571" t="s">
        <v>17</v>
      </c>
      <c r="Z571" s="1370" t="s">
        <v>2712</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3.05" customHeight="1">
      <c r="A572" s="22"/>
      <c r="B572" t="s">
        <v>315</v>
      </c>
      <c r="G572" s="1486">
        <v>6503031847</v>
      </c>
      <c r="H572" s="1486"/>
      <c r="I572" s="1486"/>
      <c r="J572" s="1486"/>
      <c r="K572" s="1486"/>
      <c r="L572" s="1486"/>
      <c r="O572" s="33" t="s">
        <v>205</v>
      </c>
      <c r="P572" s="1470"/>
      <c r="Q572" s="1470"/>
      <c r="R572" s="1470"/>
      <c r="S572" s="10"/>
      <c r="T572" s="22"/>
      <c r="U572" t="s">
        <v>315</v>
      </c>
      <c r="Z572" s="1486">
        <v>8182470420</v>
      </c>
      <c r="AA572" s="1486"/>
      <c r="AB572" s="1486"/>
      <c r="AC572" s="1486"/>
      <c r="AD572" s="1486"/>
      <c r="AE572" s="1486"/>
      <c r="AH572" s="33" t="s">
        <v>205</v>
      </c>
      <c r="AI572" s="1470"/>
      <c r="AJ572" s="1470"/>
      <c r="AK572" s="1470"/>
      <c r="BB572" s="3"/>
      <c r="BC572" s="3"/>
      <c r="BD572" s="3"/>
      <c r="BE572" s="3"/>
      <c r="BF572" s="3"/>
      <c r="BG572" s="3"/>
      <c r="BH572" s="3"/>
      <c r="BI572" s="3"/>
    </row>
    <row r="573" spans="1:61" ht="13.05" customHeight="1">
      <c r="A573" s="22"/>
      <c r="B573" t="s">
        <v>18</v>
      </c>
      <c r="H573" s="1406" t="s">
        <v>2709</v>
      </c>
      <c r="I573" s="1406"/>
      <c r="J573" s="1406"/>
      <c r="K573" s="1406"/>
      <c r="L573" s="1406"/>
      <c r="M573" s="1406"/>
      <c r="N573" s="1406"/>
      <c r="O573" s="1406"/>
      <c r="P573" s="1406"/>
      <c r="Q573" s="1406"/>
      <c r="R573" s="1406"/>
      <c r="S573" s="8"/>
      <c r="T573" s="22"/>
      <c r="U573" t="s">
        <v>18</v>
      </c>
      <c r="AA573" s="1406" t="s">
        <v>2713</v>
      </c>
      <c r="AB573" s="1406"/>
      <c r="AC573" s="1406"/>
      <c r="AD573" s="1406"/>
      <c r="AE573" s="1406"/>
      <c r="AF573" s="1406"/>
      <c r="AG573" s="1406"/>
      <c r="AH573" s="1406"/>
      <c r="AI573" s="1406"/>
      <c r="AJ573" s="1406"/>
      <c r="AK573" s="1406"/>
      <c r="BB573" s="3"/>
      <c r="BC573" s="3"/>
      <c r="BD573" s="3"/>
      <c r="BE573" s="3"/>
      <c r="BF573" s="3"/>
      <c r="BG573" s="3"/>
      <c r="BH573" s="3"/>
      <c r="BI573" s="3"/>
    </row>
    <row r="574" spans="1:61" ht="13.05" customHeight="1">
      <c r="A574" s="22"/>
      <c r="B574" s="321" t="s">
        <v>1185</v>
      </c>
      <c r="H574" s="8"/>
      <c r="I574" s="8"/>
      <c r="J574" s="8"/>
      <c r="K574" s="8"/>
      <c r="L574" s="8"/>
      <c r="M574" s="1593" t="s">
        <v>2710</v>
      </c>
      <c r="N574" s="1593"/>
      <c r="O574" s="1593"/>
      <c r="P574" s="1593"/>
      <c r="Q574" s="1593"/>
      <c r="R574" s="1593"/>
      <c r="S574" s="8"/>
      <c r="T574" s="22"/>
      <c r="U574" s="321" t="s">
        <v>1185</v>
      </c>
      <c r="AA574" s="8"/>
      <c r="AB574" s="8"/>
      <c r="AC574" s="8"/>
      <c r="AD574" s="8"/>
      <c r="AE574" s="8"/>
      <c r="AF574" s="1593"/>
      <c r="AG574" s="1593"/>
      <c r="AH574" s="1593"/>
      <c r="AI574" s="1593"/>
      <c r="AJ574" s="1593"/>
      <c r="AK574" s="1593"/>
      <c r="BB574" s="3"/>
      <c r="BC574" s="3"/>
      <c r="BD574" s="3"/>
      <c r="BE574" s="3"/>
      <c r="BF574" s="3"/>
      <c r="BG574" s="3"/>
      <c r="BH574" s="3"/>
      <c r="BI574" s="3"/>
    </row>
    <row r="575" spans="1:61" ht="13.05" customHeight="1">
      <c r="A575" s="22"/>
      <c r="B575" t="s">
        <v>20</v>
      </c>
      <c r="N575" s="1414" t="s">
        <v>545</v>
      </c>
      <c r="O575" s="1414"/>
      <c r="T575" s="22"/>
      <c r="U575" t="s">
        <v>20</v>
      </c>
      <c r="AG575" s="1414" t="s">
        <v>545</v>
      </c>
      <c r="AH575" s="1414"/>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482" t="str">
        <f>C556</f>
        <v>Seller Note Accrued Interest</v>
      </c>
      <c r="H577" s="1482"/>
      <c r="I577" s="1482"/>
      <c r="J577" s="1482"/>
      <c r="K577" s="1482"/>
      <c r="L577" s="1482"/>
      <c r="M577" s="1482"/>
      <c r="N577" s="1482"/>
      <c r="O577" s="1482"/>
      <c r="P577" s="1482"/>
      <c r="Q577" s="1482"/>
      <c r="R577" s="1482"/>
      <c r="T577" s="55" t="s">
        <v>581</v>
      </c>
      <c r="U577" t="s">
        <v>463</v>
      </c>
      <c r="Z577" s="1482" t="str">
        <f>C557</f>
        <v>Assumption of City of LA Loan</v>
      </c>
      <c r="AA577" s="1482"/>
      <c r="AB577" s="1482"/>
      <c r="AC577" s="1482"/>
      <c r="AD577" s="1482"/>
      <c r="AE577" s="1482"/>
      <c r="AF577" s="1482"/>
      <c r="AG577" s="1482"/>
      <c r="AH577" s="1482"/>
      <c r="AI577" s="1482"/>
      <c r="AJ577" s="1482"/>
      <c r="AK577" s="1482"/>
      <c r="BB577" s="3"/>
      <c r="BC577" s="3"/>
    </row>
    <row r="578" spans="1:55" ht="13.05" customHeight="1">
      <c r="A578" s="22"/>
      <c r="B578" t="s">
        <v>85</v>
      </c>
      <c r="G578" s="1406" t="s">
        <v>2620</v>
      </c>
      <c r="H578" s="1406"/>
      <c r="I578" s="1406"/>
      <c r="J578" s="1406"/>
      <c r="K578" s="1406"/>
      <c r="L578" s="1406"/>
      <c r="M578" s="1406"/>
      <c r="N578" s="1406"/>
      <c r="O578" s="1406"/>
      <c r="P578" s="1406"/>
      <c r="Q578" s="1406"/>
      <c r="R578" s="1406"/>
      <c r="T578" s="22"/>
      <c r="U578" t="s">
        <v>85</v>
      </c>
      <c r="Z578" s="1406" t="s">
        <v>2714</v>
      </c>
      <c r="AA578" s="1406"/>
      <c r="AB578" s="1406"/>
      <c r="AC578" s="1406"/>
      <c r="AD578" s="1406"/>
      <c r="AE578" s="1406"/>
      <c r="AF578" s="1406"/>
      <c r="AG578" s="1406"/>
      <c r="AH578" s="1406"/>
      <c r="AI578" s="1406"/>
      <c r="AJ578" s="1406"/>
      <c r="AK578" s="1406"/>
      <c r="BB578" s="3"/>
      <c r="BC578" s="3"/>
    </row>
    <row r="579" spans="1:55" ht="13.05" customHeight="1">
      <c r="A579" s="22"/>
      <c r="B579" t="s">
        <v>580</v>
      </c>
      <c r="G579" s="1370" t="s">
        <v>2711</v>
      </c>
      <c r="H579" s="1370"/>
      <c r="I579" s="1370"/>
      <c r="J579" s="1370"/>
      <c r="K579" s="1370"/>
      <c r="L579" s="1370"/>
      <c r="M579" s="1370"/>
      <c r="N579" s="1370"/>
      <c r="O579" s="1370"/>
      <c r="P579" s="1370"/>
      <c r="Q579" s="1370"/>
      <c r="R579" s="1370"/>
      <c r="T579" s="22"/>
      <c r="U579" t="s">
        <v>580</v>
      </c>
      <c r="Z579" s="1370" t="s">
        <v>2676</v>
      </c>
      <c r="AA579" s="1370"/>
      <c r="AB579" s="1370"/>
      <c r="AC579" s="1370"/>
      <c r="AD579" s="1370"/>
      <c r="AE579" s="1370"/>
      <c r="AF579" s="1370"/>
      <c r="AG579" s="1370"/>
      <c r="AH579" s="1370"/>
      <c r="AI579" s="1370"/>
      <c r="AJ579" s="1370"/>
      <c r="AK579" s="1370"/>
      <c r="BB579" s="3"/>
      <c r="BC579" s="3"/>
    </row>
    <row r="580" spans="1:55" ht="13.05" customHeight="1">
      <c r="A580" s="22"/>
      <c r="B580" t="s">
        <v>17</v>
      </c>
      <c r="G580" s="1370" t="s">
        <v>2712</v>
      </c>
      <c r="H580" s="1370"/>
      <c r="I580" s="1370"/>
      <c r="J580" s="1370"/>
      <c r="K580" s="1370"/>
      <c r="L580" s="1370"/>
      <c r="M580" s="1370"/>
      <c r="N580" s="1370"/>
      <c r="O580" s="1370"/>
      <c r="P580" s="1370"/>
      <c r="Q580" s="1370"/>
      <c r="R580" s="1370"/>
      <c r="T580" s="22"/>
      <c r="U580" t="s">
        <v>17</v>
      </c>
      <c r="Z580" s="1370" t="s">
        <v>2677</v>
      </c>
      <c r="AA580" s="1370"/>
      <c r="AB580" s="1370"/>
      <c r="AC580" s="1370"/>
      <c r="AD580" s="1370"/>
      <c r="AE580" s="1370"/>
      <c r="AF580" s="1370"/>
      <c r="AG580" s="1370"/>
      <c r="AH580" s="1370"/>
      <c r="AI580" s="1370"/>
      <c r="AJ580" s="1370"/>
      <c r="AK580" s="1370"/>
      <c r="BB580" s="3"/>
      <c r="BC580" s="3"/>
    </row>
    <row r="581" spans="1:55" ht="13.05" customHeight="1">
      <c r="A581" s="22"/>
      <c r="B581" t="s">
        <v>315</v>
      </c>
      <c r="G581" s="1486">
        <v>8182470420</v>
      </c>
      <c r="H581" s="1486"/>
      <c r="I581" s="1486"/>
      <c r="J581" s="1486"/>
      <c r="K581" s="1486"/>
      <c r="L581" s="1486"/>
      <c r="O581" s="33" t="s">
        <v>205</v>
      </c>
      <c r="P581" s="1470"/>
      <c r="Q581" s="1470"/>
      <c r="R581" s="1470"/>
      <c r="T581" s="22"/>
      <c r="U581" t="s">
        <v>315</v>
      </c>
      <c r="Z581" s="1486">
        <v>2138088808</v>
      </c>
      <c r="AA581" s="1486"/>
      <c r="AB581" s="1486"/>
      <c r="AC581" s="1486"/>
      <c r="AD581" s="1486"/>
      <c r="AE581" s="1486"/>
      <c r="AH581" s="33" t="s">
        <v>205</v>
      </c>
      <c r="AI581" s="1470"/>
      <c r="AJ581" s="1470"/>
      <c r="AK581" s="1470"/>
      <c r="BB581" s="3"/>
      <c r="BC581" s="3"/>
    </row>
    <row r="582" spans="1:55" ht="13.05" customHeight="1">
      <c r="A582" s="22"/>
      <c r="B582" t="s">
        <v>18</v>
      </c>
      <c r="H582" s="1406" t="s">
        <v>2713</v>
      </c>
      <c r="I582" s="1406"/>
      <c r="J582" s="1406"/>
      <c r="K582" s="1406"/>
      <c r="L582" s="1406"/>
      <c r="M582" s="1406"/>
      <c r="N582" s="1406"/>
      <c r="O582" s="1406"/>
      <c r="P582" s="1406"/>
      <c r="Q582" s="1406"/>
      <c r="R582" s="1406"/>
      <c r="T582" s="22"/>
      <c r="U582" t="s">
        <v>18</v>
      </c>
      <c r="AA582" s="1406" t="s">
        <v>2715</v>
      </c>
      <c r="AB582" s="1406"/>
      <c r="AC582" s="1406"/>
      <c r="AD582" s="1406"/>
      <c r="AE582" s="1406"/>
      <c r="AF582" s="1406"/>
      <c r="AG582" s="1406"/>
      <c r="AH582" s="1406"/>
      <c r="AI582" s="1406"/>
      <c r="AJ582" s="1406"/>
      <c r="AK582" s="1406"/>
      <c r="BB582" s="3"/>
      <c r="BC582" s="3"/>
    </row>
    <row r="583" spans="1:55" ht="13.05" customHeight="1">
      <c r="A583" s="22"/>
      <c r="B583" t="s">
        <v>20</v>
      </c>
      <c r="N583" s="1414" t="s">
        <v>545</v>
      </c>
      <c r="O583" s="1414"/>
      <c r="T583" s="22"/>
      <c r="U583" t="s">
        <v>20</v>
      </c>
      <c r="AG583" s="1414" t="s">
        <v>545</v>
      </c>
      <c r="AH583" s="1414"/>
      <c r="BB583" s="3"/>
      <c r="BC583" s="3"/>
    </row>
    <row r="584" spans="1:55" ht="13.05" customHeight="1">
      <c r="A584" s="22"/>
      <c r="T584" s="22"/>
      <c r="BB584" s="3"/>
      <c r="BC584" s="3"/>
    </row>
    <row r="585" spans="1:55" ht="13.05" customHeight="1">
      <c r="A585" s="55" t="s">
        <v>763</v>
      </c>
      <c r="B585" t="s">
        <v>463</v>
      </c>
      <c r="G585" s="1482" t="str">
        <f>C558</f>
        <v>Assumed City of LA Loan Accrued Interest</v>
      </c>
      <c r="H585" s="1482"/>
      <c r="I585" s="1482"/>
      <c r="J585" s="1482"/>
      <c r="K585" s="1482"/>
      <c r="L585" s="1482"/>
      <c r="M585" s="1482"/>
      <c r="N585" s="1482"/>
      <c r="O585" s="1482"/>
      <c r="P585" s="1482"/>
      <c r="Q585" s="1482"/>
      <c r="R585" s="1482"/>
      <c r="T585" s="55" t="s">
        <v>584</v>
      </c>
      <c r="U585" t="s">
        <v>463</v>
      </c>
      <c r="Z585" s="1482" t="str">
        <f>C559</f>
        <v>Deferred Developer Fee</v>
      </c>
      <c r="AA585" s="1482"/>
      <c r="AB585" s="1482"/>
      <c r="AC585" s="1482"/>
      <c r="AD585" s="1482"/>
      <c r="AE585" s="1482"/>
      <c r="AF585" s="1482"/>
      <c r="AG585" s="1482"/>
      <c r="AH585" s="1482"/>
      <c r="AI585" s="1482"/>
      <c r="AJ585" s="1482"/>
      <c r="AK585" s="1482"/>
      <c r="BB585" s="3"/>
      <c r="BC585" s="3"/>
    </row>
    <row r="586" spans="1:55" ht="13.05" customHeight="1">
      <c r="A586" s="22"/>
      <c r="B586" t="s">
        <v>85</v>
      </c>
      <c r="G586" s="1406" t="s">
        <v>2714</v>
      </c>
      <c r="H586" s="1406"/>
      <c r="I586" s="1406"/>
      <c r="J586" s="1406"/>
      <c r="K586" s="1406"/>
      <c r="L586" s="1406"/>
      <c r="M586" s="1406"/>
      <c r="N586" s="1406"/>
      <c r="O586" s="1406"/>
      <c r="P586" s="1406"/>
      <c r="Q586" s="1406"/>
      <c r="R586" s="1406"/>
      <c r="T586" s="22"/>
      <c r="U586" t="s">
        <v>85</v>
      </c>
      <c r="Z586" s="1406" t="s">
        <v>2620</v>
      </c>
      <c r="AA586" s="1406"/>
      <c r="AB586" s="1406"/>
      <c r="AC586" s="1406"/>
      <c r="AD586" s="1406"/>
      <c r="AE586" s="1406"/>
      <c r="AF586" s="1406"/>
      <c r="AG586" s="1406"/>
      <c r="AH586" s="1406"/>
      <c r="AI586" s="1406"/>
      <c r="AJ586" s="1406"/>
      <c r="AK586" s="1406"/>
      <c r="BB586" s="3"/>
      <c r="BC586" s="3"/>
    </row>
    <row r="587" spans="1:55" ht="13.05" customHeight="1">
      <c r="A587" s="22"/>
      <c r="B587" t="s">
        <v>580</v>
      </c>
      <c r="G587" s="1406" t="s">
        <v>2676</v>
      </c>
      <c r="H587" s="1406"/>
      <c r="I587" s="1406"/>
      <c r="J587" s="1406"/>
      <c r="K587" s="1406"/>
      <c r="L587" s="1406"/>
      <c r="M587" s="1406"/>
      <c r="N587" s="1406"/>
      <c r="O587" s="1406"/>
      <c r="P587" s="1406"/>
      <c r="Q587" s="1406"/>
      <c r="R587" s="1406"/>
      <c r="T587" s="22"/>
      <c r="U587" t="s">
        <v>580</v>
      </c>
      <c r="Z587" s="1370" t="s">
        <v>2711</v>
      </c>
      <c r="AA587" s="1370"/>
      <c r="AB587" s="1370"/>
      <c r="AC587" s="1370"/>
      <c r="AD587" s="1370"/>
      <c r="AE587" s="1370"/>
      <c r="AF587" s="1370"/>
      <c r="AG587" s="1370"/>
      <c r="AH587" s="1370"/>
      <c r="AI587" s="1370"/>
      <c r="AJ587" s="1370"/>
      <c r="AK587" s="1370"/>
      <c r="BB587" s="3"/>
      <c r="BC587" s="3"/>
    </row>
    <row r="588" spans="1:55" ht="13.05" customHeight="1">
      <c r="A588" s="22"/>
      <c r="B588" t="s">
        <v>17</v>
      </c>
      <c r="G588" s="1406" t="s">
        <v>2677</v>
      </c>
      <c r="H588" s="1406"/>
      <c r="I588" s="1406"/>
      <c r="J588" s="1406"/>
      <c r="K588" s="1406"/>
      <c r="L588" s="1406"/>
      <c r="M588" s="1406"/>
      <c r="N588" s="1406"/>
      <c r="O588" s="1406"/>
      <c r="P588" s="1406"/>
      <c r="Q588" s="1406"/>
      <c r="R588" s="1406"/>
      <c r="T588" s="22"/>
      <c r="U588" t="s">
        <v>17</v>
      </c>
      <c r="Z588" s="1370" t="s">
        <v>2712</v>
      </c>
      <c r="AA588" s="1370"/>
      <c r="AB588" s="1370"/>
      <c r="AC588" s="1370"/>
      <c r="AD588" s="1370"/>
      <c r="AE588" s="1370"/>
      <c r="AF588" s="1370"/>
      <c r="AG588" s="1370"/>
      <c r="AH588" s="1370"/>
      <c r="AI588" s="1370"/>
      <c r="AJ588" s="1370"/>
      <c r="AK588" s="1370"/>
    </row>
    <row r="589" spans="1:55" ht="13.05" customHeight="1">
      <c r="A589" s="22"/>
      <c r="B589" t="s">
        <v>315</v>
      </c>
      <c r="G589" s="1486">
        <v>2138088808</v>
      </c>
      <c r="H589" s="1486"/>
      <c r="I589" s="1486"/>
      <c r="J589" s="1486"/>
      <c r="K589" s="1486"/>
      <c r="L589" s="1486"/>
      <c r="O589" s="33" t="s">
        <v>205</v>
      </c>
      <c r="P589" s="1470"/>
      <c r="Q589" s="1470"/>
      <c r="R589" s="1470"/>
      <c r="T589" s="22"/>
      <c r="U589" t="s">
        <v>315</v>
      </c>
      <c r="Z589" s="1486">
        <v>8182470420</v>
      </c>
      <c r="AA589" s="1486"/>
      <c r="AB589" s="1486"/>
      <c r="AC589" s="1486"/>
      <c r="AD589" s="1486"/>
      <c r="AE589" s="1486"/>
      <c r="AH589" s="33" t="s">
        <v>205</v>
      </c>
      <c r="AI589" s="1470"/>
      <c r="AJ589" s="1470"/>
      <c r="AK589" s="1470"/>
      <c r="AZ589" s="3"/>
      <c r="BA589" s="3"/>
      <c r="BB589" s="3"/>
      <c r="BC589" s="3"/>
    </row>
    <row r="590" spans="1:55" ht="13.05" customHeight="1">
      <c r="A590" s="22"/>
      <c r="B590" t="s">
        <v>18</v>
      </c>
      <c r="H590" s="1406" t="s">
        <v>2715</v>
      </c>
      <c r="I590" s="1406"/>
      <c r="J590" s="1406"/>
      <c r="K590" s="1406"/>
      <c r="L590" s="1406"/>
      <c r="M590" s="1406"/>
      <c r="N590" s="1406"/>
      <c r="O590" s="1406"/>
      <c r="P590" s="1406"/>
      <c r="Q590" s="1406"/>
      <c r="R590" s="1406"/>
      <c r="T590" s="22"/>
      <c r="U590" t="s">
        <v>18</v>
      </c>
      <c r="AA590" s="1406" t="s">
        <v>2716</v>
      </c>
      <c r="AB590" s="1406"/>
      <c r="AC590" s="1406"/>
      <c r="AD590" s="1406"/>
      <c r="AE590" s="1406"/>
      <c r="AF590" s="1406"/>
      <c r="AG590" s="1406"/>
      <c r="AH590" s="1406"/>
      <c r="AI590" s="1406"/>
      <c r="AJ590" s="1406"/>
      <c r="AK590" s="1406"/>
      <c r="AZ590" s="3"/>
      <c r="BA590" s="3"/>
      <c r="BB590" s="3"/>
      <c r="BC590" s="3"/>
    </row>
    <row r="591" spans="1:55" ht="13.05" customHeight="1">
      <c r="A591" s="22"/>
      <c r="B591" t="s">
        <v>20</v>
      </c>
      <c r="N591" s="1414" t="s">
        <v>545</v>
      </c>
      <c r="O591" s="1414"/>
      <c r="T591" s="22"/>
      <c r="U591" t="s">
        <v>20</v>
      </c>
      <c r="AG591" s="1414" t="s">
        <v>545</v>
      </c>
      <c r="AH591" s="1414"/>
      <c r="AZ591" s="3"/>
      <c r="BA591" s="3"/>
      <c r="BB591" s="3"/>
      <c r="BC591" s="3"/>
    </row>
    <row r="592" spans="1:55" ht="13.05" customHeight="1">
      <c r="A592" s="22"/>
      <c r="T592" s="22"/>
      <c r="AZ592" s="3"/>
      <c r="BA592" s="3"/>
      <c r="BB592" s="3"/>
      <c r="BC592" s="3"/>
    </row>
    <row r="593" spans="1:55" ht="13.05" customHeight="1">
      <c r="A593" s="55" t="s">
        <v>455</v>
      </c>
      <c r="B593" t="s">
        <v>463</v>
      </c>
      <c r="G593" s="1482" t="str">
        <f>C560</f>
        <v>Existing Reserves</v>
      </c>
      <c r="H593" s="1482"/>
      <c r="I593" s="1482"/>
      <c r="J593" s="1482"/>
      <c r="K593" s="1482"/>
      <c r="L593" s="1482"/>
      <c r="M593" s="1482"/>
      <c r="N593" s="1482"/>
      <c r="O593" s="1482"/>
      <c r="P593" s="1482"/>
      <c r="Q593" s="1482"/>
      <c r="R593" s="1482"/>
      <c r="T593" s="55" t="s">
        <v>456</v>
      </c>
      <c r="U593" t="s">
        <v>463</v>
      </c>
      <c r="Z593" s="1482" t="str">
        <f>C561</f>
        <v>Tax Credit Equity</v>
      </c>
      <c r="AA593" s="1482"/>
      <c r="AB593" s="1482"/>
      <c r="AC593" s="1482"/>
      <c r="AD593" s="1482"/>
      <c r="AE593" s="1482"/>
      <c r="AF593" s="1482"/>
      <c r="AG593" s="1482"/>
      <c r="AH593" s="1482"/>
      <c r="AI593" s="1482"/>
      <c r="AJ593" s="1482"/>
      <c r="AK593" s="1482"/>
      <c r="AZ593" s="3"/>
      <c r="BA593" s="3"/>
      <c r="BB593" s="3"/>
      <c r="BC593" s="3"/>
    </row>
    <row r="594" spans="1:55" s="4" customFormat="1" ht="13.05" customHeight="1">
      <c r="A594" s="22"/>
      <c r="B594" t="s">
        <v>85</v>
      </c>
      <c r="C594"/>
      <c r="D594"/>
      <c r="E594"/>
      <c r="F594"/>
      <c r="G594" s="1406" t="s">
        <v>2620</v>
      </c>
      <c r="H594" s="1406"/>
      <c r="I594" s="1406"/>
      <c r="J594" s="1406"/>
      <c r="K594" s="1406"/>
      <c r="L594" s="1406"/>
      <c r="M594" s="1406"/>
      <c r="N594" s="1406"/>
      <c r="O594" s="1406"/>
      <c r="P594" s="1406"/>
      <c r="Q594" s="1406"/>
      <c r="R594" s="1406"/>
      <c r="S594"/>
      <c r="T594" s="22"/>
      <c r="U594" t="s">
        <v>85</v>
      </c>
      <c r="V594"/>
      <c r="W594"/>
      <c r="X594"/>
      <c r="Y594"/>
      <c r="Z594" s="1406" t="s">
        <v>2663</v>
      </c>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406" t="s">
        <v>2711</v>
      </c>
      <c r="H595" s="1406"/>
      <c r="I595" s="1406"/>
      <c r="J595" s="1406"/>
      <c r="K595" s="1406"/>
      <c r="L595" s="1406"/>
      <c r="M595" s="1406"/>
      <c r="N595" s="1406"/>
      <c r="O595" s="1406"/>
      <c r="P595" s="1406"/>
      <c r="Q595" s="1406"/>
      <c r="R595" s="1406"/>
      <c r="S595"/>
      <c r="T595" s="22"/>
      <c r="U595" t="s">
        <v>580</v>
      </c>
      <c r="V595"/>
      <c r="W595"/>
      <c r="X595"/>
      <c r="Y595"/>
      <c r="Z595" s="1370" t="s">
        <v>2663</v>
      </c>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406" t="s">
        <v>2712</v>
      </c>
      <c r="H596" s="1406"/>
      <c r="I596" s="1406"/>
      <c r="J596" s="1406"/>
      <c r="K596" s="1406"/>
      <c r="L596" s="1406"/>
      <c r="M596" s="1406"/>
      <c r="N596" s="1406"/>
      <c r="O596" s="1406"/>
      <c r="P596" s="1406"/>
      <c r="Q596" s="1406"/>
      <c r="R596" s="1406"/>
      <c r="S596"/>
      <c r="T596" s="22"/>
      <c r="U596" t="s">
        <v>17</v>
      </c>
      <c r="V596"/>
      <c r="W596"/>
      <c r="X596"/>
      <c r="Y596"/>
      <c r="Z596" s="1370" t="s">
        <v>2663</v>
      </c>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3.05" customHeight="1">
      <c r="A597" s="22"/>
      <c r="B597" t="s">
        <v>315</v>
      </c>
      <c r="C597"/>
      <c r="D597"/>
      <c r="E597"/>
      <c r="F597"/>
      <c r="G597" s="1486">
        <v>8182470420</v>
      </c>
      <c r="H597" s="1486"/>
      <c r="I597" s="1486"/>
      <c r="J597" s="1486"/>
      <c r="K597" s="1486"/>
      <c r="L597" s="1486"/>
      <c r="M597"/>
      <c r="N597"/>
      <c r="O597" s="33" t="s">
        <v>205</v>
      </c>
      <c r="P597" s="1470"/>
      <c r="Q597" s="1470"/>
      <c r="R597" s="1470"/>
      <c r="S597"/>
      <c r="T597" s="22"/>
      <c r="U597" t="s">
        <v>315</v>
      </c>
      <c r="V597"/>
      <c r="W597"/>
      <c r="X597"/>
      <c r="Y597"/>
      <c r="Z597" s="1486" t="s">
        <v>2663</v>
      </c>
      <c r="AA597" s="1486"/>
      <c r="AB597" s="1486"/>
      <c r="AC597" s="1486"/>
      <c r="AD597" s="1486"/>
      <c r="AE597" s="1486"/>
      <c r="AF597"/>
      <c r="AG597"/>
      <c r="AH597" s="33" t="s">
        <v>205</v>
      </c>
      <c r="AI597" s="1470"/>
      <c r="AJ597" s="1470"/>
      <c r="AK597" s="1470"/>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406" t="s">
        <v>2701</v>
      </c>
      <c r="I598" s="1406"/>
      <c r="J598" s="1406"/>
      <c r="K598" s="1406"/>
      <c r="L598" s="1406"/>
      <c r="M598" s="1406"/>
      <c r="N598" s="1406"/>
      <c r="O598" s="1406"/>
      <c r="P598" s="1406"/>
      <c r="Q598" s="1406"/>
      <c r="R598" s="1406"/>
      <c r="S598"/>
      <c r="T598" s="22"/>
      <c r="U598" t="s">
        <v>18</v>
      </c>
      <c r="V598"/>
      <c r="W598"/>
      <c r="X598"/>
      <c r="Y598"/>
      <c r="Z598"/>
      <c r="AA598" s="1406" t="s">
        <v>2702</v>
      </c>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3.05" customHeight="1">
      <c r="A599" s="22"/>
      <c r="B599" t="s">
        <v>20</v>
      </c>
      <c r="N599" s="1414" t="s">
        <v>545</v>
      </c>
      <c r="O599" s="1414"/>
      <c r="T599" s="22"/>
      <c r="U599" t="s">
        <v>20</v>
      </c>
      <c r="AG599" s="1414" t="s">
        <v>669</v>
      </c>
      <c r="AH599" s="1414"/>
      <c r="BB599" s="3"/>
      <c r="BC599" s="3"/>
    </row>
    <row r="600" spans="1:55" ht="13.05" customHeight="1">
      <c r="A600" s="22"/>
      <c r="T600" s="22"/>
      <c r="BB600" s="3"/>
      <c r="BC600" s="3"/>
    </row>
    <row r="601" spans="1:55" ht="13.05" customHeight="1">
      <c r="A601" s="55" t="s">
        <v>461</v>
      </c>
      <c r="B601" t="s">
        <v>463</v>
      </c>
      <c r="G601" s="1482" t="str">
        <f>C562</f>
        <v>Costs defered until Conversion</v>
      </c>
      <c r="H601" s="1482"/>
      <c r="I601" s="1482"/>
      <c r="J601" s="1482"/>
      <c r="K601" s="1482"/>
      <c r="L601" s="1482"/>
      <c r="M601" s="1482"/>
      <c r="N601" s="1482"/>
      <c r="O601" s="1482"/>
      <c r="P601" s="1482"/>
      <c r="Q601" s="1482"/>
      <c r="R601" s="1482"/>
      <c r="T601" s="55" t="s">
        <v>646</v>
      </c>
      <c r="U601" t="s">
        <v>463</v>
      </c>
      <c r="Z601" s="1482">
        <f>C563</f>
        <v>0</v>
      </c>
      <c r="AA601" s="1482"/>
      <c r="AB601" s="1482"/>
      <c r="AC601" s="1482"/>
      <c r="AD601" s="1482"/>
      <c r="AE601" s="1482"/>
      <c r="AF601" s="1482"/>
      <c r="AG601" s="1482"/>
      <c r="AH601" s="1482"/>
      <c r="AI601" s="1482"/>
      <c r="AJ601" s="1482"/>
      <c r="AK601" s="1482"/>
      <c r="BB601" s="3"/>
      <c r="BC601" s="3"/>
    </row>
    <row r="602" spans="1:55" ht="13.05" customHeight="1">
      <c r="A602" s="22"/>
      <c r="B602" t="s">
        <v>85</v>
      </c>
      <c r="G602" s="1406" t="s">
        <v>2620</v>
      </c>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3.05" customHeight="1">
      <c r="A603" s="22"/>
      <c r="B603" t="s">
        <v>580</v>
      </c>
      <c r="G603" s="1406" t="s">
        <v>2711</v>
      </c>
      <c r="H603" s="1406"/>
      <c r="I603" s="1406"/>
      <c r="J603" s="1406"/>
      <c r="K603" s="1406"/>
      <c r="L603" s="1406"/>
      <c r="M603" s="1406"/>
      <c r="N603" s="1406"/>
      <c r="O603" s="1406"/>
      <c r="P603" s="1406"/>
      <c r="Q603" s="1406"/>
      <c r="R603" s="1406"/>
      <c r="T603" s="22"/>
      <c r="U603" t="s">
        <v>580</v>
      </c>
      <c r="Z603" s="1370"/>
      <c r="AA603" s="1370"/>
      <c r="AB603" s="1370"/>
      <c r="AC603" s="1370"/>
      <c r="AD603" s="1370"/>
      <c r="AE603" s="1370"/>
      <c r="AF603" s="1370"/>
      <c r="AG603" s="1370"/>
      <c r="AH603" s="1370"/>
      <c r="AI603" s="1370"/>
      <c r="AJ603" s="1370"/>
      <c r="AK603" s="1370"/>
      <c r="AZ603" s="3"/>
      <c r="BA603" s="3"/>
      <c r="BB603" s="3"/>
      <c r="BC603" s="3"/>
    </row>
    <row r="604" spans="1:55" ht="13.05" customHeight="1">
      <c r="A604" s="22"/>
      <c r="B604" t="s">
        <v>17</v>
      </c>
      <c r="G604" s="1406" t="s">
        <v>2712</v>
      </c>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3.05" customHeight="1">
      <c r="A605" s="22"/>
      <c r="B605" t="s">
        <v>315</v>
      </c>
      <c r="C605"/>
      <c r="D605"/>
      <c r="E605"/>
      <c r="F605"/>
      <c r="G605" s="1486">
        <v>8182470420</v>
      </c>
      <c r="H605" s="1486"/>
      <c r="I605" s="1486"/>
      <c r="J605" s="1486"/>
      <c r="K605" s="1486"/>
      <c r="L605" s="1486"/>
      <c r="M605"/>
      <c r="N605"/>
      <c r="O605" s="33" t="s">
        <v>205</v>
      </c>
      <c r="P605" s="1470"/>
      <c r="Q605" s="1470"/>
      <c r="R605" s="1470"/>
      <c r="S605"/>
      <c r="T605" s="22"/>
      <c r="U605" t="s">
        <v>315</v>
      </c>
      <c r="V605"/>
      <c r="W605"/>
      <c r="X605"/>
      <c r="Y605"/>
      <c r="Z605" s="1486"/>
      <c r="AA605" s="1486"/>
      <c r="AB605" s="1486"/>
      <c r="AC605" s="1486"/>
      <c r="AD605" s="1486"/>
      <c r="AE605" s="1486"/>
      <c r="AF605"/>
      <c r="AG605"/>
      <c r="AH605" s="33" t="s">
        <v>205</v>
      </c>
      <c r="AI605" s="1470"/>
      <c r="AJ605" s="1470"/>
      <c r="AK605" s="1470"/>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406" t="s">
        <v>2717</v>
      </c>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414" t="s">
        <v>545</v>
      </c>
      <c r="O607" s="1414"/>
      <c r="P607"/>
      <c r="Q607"/>
      <c r="R607"/>
      <c r="S607"/>
      <c r="T607" s="22"/>
      <c r="U607" t="s">
        <v>20</v>
      </c>
      <c r="V607"/>
      <c r="W607"/>
      <c r="X607"/>
      <c r="Y607"/>
      <c r="Z607"/>
      <c r="AA607"/>
      <c r="AB607"/>
      <c r="AC607"/>
      <c r="AD607"/>
      <c r="AE607"/>
      <c r="AF607"/>
      <c r="AG607" s="1414" t="s">
        <v>669</v>
      </c>
      <c r="AH607" s="1414"/>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361</v>
      </c>
      <c r="B609" t="s">
        <v>463</v>
      </c>
      <c r="G609" s="1482">
        <f>C564</f>
        <v>0</v>
      </c>
      <c r="H609" s="1482"/>
      <c r="I609" s="1482"/>
      <c r="J609" s="1482"/>
      <c r="K609" s="1482"/>
      <c r="L609" s="1482"/>
      <c r="M609" s="1482"/>
      <c r="N609" s="1482"/>
      <c r="O609" s="1482"/>
      <c r="P609" s="1482"/>
      <c r="Q609" s="1482"/>
      <c r="R609" s="1482"/>
      <c r="T609" s="55" t="s">
        <v>362</v>
      </c>
      <c r="U609" t="s">
        <v>463</v>
      </c>
      <c r="Z609" s="1482">
        <f>C565</f>
        <v>0</v>
      </c>
      <c r="AA609" s="1482"/>
      <c r="AB609" s="1482"/>
      <c r="AC609" s="1482"/>
      <c r="AD609" s="1482"/>
      <c r="AE609" s="1482"/>
      <c r="AF609" s="1482"/>
      <c r="AG609" s="1482"/>
      <c r="AH609" s="1482"/>
      <c r="AI609" s="1482"/>
      <c r="AJ609" s="1482"/>
      <c r="AK609" s="1482"/>
      <c r="AZ609" s="3"/>
      <c r="BA609" s="3"/>
      <c r="BB609" s="3"/>
      <c r="BC609" s="3"/>
    </row>
    <row r="610" spans="1:55" ht="13.05"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3.05" customHeight="1">
      <c r="B611" t="s">
        <v>580</v>
      </c>
      <c r="G611" s="1406"/>
      <c r="H611" s="1406"/>
      <c r="I611" s="1406"/>
      <c r="J611" s="1406"/>
      <c r="K611" s="1406"/>
      <c r="L611" s="1406"/>
      <c r="M611" s="1406"/>
      <c r="N611" s="1406"/>
      <c r="O611" s="1406"/>
      <c r="P611" s="1406"/>
      <c r="Q611" s="1406"/>
      <c r="R611" s="1406"/>
      <c r="U611" t="s">
        <v>580</v>
      </c>
      <c r="Z611" s="1370"/>
      <c r="AA611" s="1370"/>
      <c r="AB611" s="1370"/>
      <c r="AC611" s="1370"/>
      <c r="AD611" s="1370"/>
      <c r="AE611" s="1370"/>
      <c r="AF611" s="1370"/>
      <c r="AG611" s="1370"/>
      <c r="AH611" s="1370"/>
      <c r="AI611" s="1370"/>
      <c r="AJ611" s="1370"/>
      <c r="AK611" s="1370"/>
      <c r="AZ611" s="3"/>
      <c r="BA611" s="3"/>
      <c r="BB611" s="3"/>
      <c r="BC611" s="3"/>
    </row>
    <row r="612" spans="1:55" ht="13.05"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3.05" customHeight="1">
      <c r="B613" t="s">
        <v>315</v>
      </c>
      <c r="G613" s="1486"/>
      <c r="H613" s="1486"/>
      <c r="I613" s="1486"/>
      <c r="J613" s="1486"/>
      <c r="K613" s="1486"/>
      <c r="L613" s="1486"/>
      <c r="O613" s="33" t="s">
        <v>205</v>
      </c>
      <c r="P613" s="1470"/>
      <c r="Q613" s="1470"/>
      <c r="R613" s="1470"/>
      <c r="U613" t="s">
        <v>315</v>
      </c>
      <c r="Z613" s="1486"/>
      <c r="AA613" s="1486"/>
      <c r="AB613" s="1486"/>
      <c r="AC613" s="1486"/>
      <c r="AD613" s="1486"/>
      <c r="AE613" s="1486"/>
      <c r="AH613" s="33" t="s">
        <v>205</v>
      </c>
      <c r="AI613" s="1470"/>
      <c r="AJ613" s="1470"/>
      <c r="AK613" s="1470"/>
      <c r="AZ613" s="3"/>
      <c r="BA613" s="3"/>
      <c r="BB613" s="3"/>
      <c r="BC613" s="3"/>
    </row>
    <row r="614" spans="1:55" ht="13.05"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00"/>
      <c r="AV614" s="900"/>
      <c r="AW614" s="900"/>
      <c r="AX614" s="900"/>
      <c r="AY614" s="900"/>
      <c r="AZ614" s="3"/>
      <c r="BA614" s="3"/>
      <c r="BB614" s="3"/>
      <c r="BC614" s="3"/>
    </row>
    <row r="615" spans="1:55" ht="13.05" customHeight="1">
      <c r="B615" t="s">
        <v>20</v>
      </c>
      <c r="N615" s="1414" t="s">
        <v>669</v>
      </c>
      <c r="O615" s="1414"/>
      <c r="U615" t="s">
        <v>20</v>
      </c>
      <c r="AG615" s="1414" t="s">
        <v>669</v>
      </c>
      <c r="AH615" s="1414"/>
      <c r="AU615" s="900"/>
      <c r="AV615" s="900"/>
      <c r="AW615" s="900"/>
      <c r="AX615" s="900"/>
      <c r="AY615" s="900"/>
      <c r="AZ615" s="3"/>
      <c r="BA615" s="3"/>
      <c r="BB615" s="3"/>
      <c r="BC615" s="3"/>
    </row>
    <row r="616" spans="1:55" ht="13.05" customHeight="1">
      <c r="AZ616" s="3"/>
      <c r="BA616" s="3"/>
      <c r="BB616" s="3"/>
      <c r="BC616" s="3"/>
    </row>
    <row r="617" spans="1:55" ht="13.05" customHeight="1">
      <c r="A617" s="1269" t="s">
        <v>544</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05"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05" customHeight="1">
      <c r="AZ619" s="3"/>
      <c r="BA619" s="3"/>
      <c r="BB619" s="3"/>
      <c r="BC619" s="3"/>
    </row>
    <row r="620" spans="1:55" ht="13.05" customHeight="1">
      <c r="A620" s="2" t="s">
        <v>318</v>
      </c>
      <c r="B620" s="2"/>
      <c r="C620" s="2" t="s">
        <v>21</v>
      </c>
      <c r="AZ620" s="3"/>
      <c r="BA620" s="3"/>
      <c r="BB620" s="3"/>
      <c r="BC620" s="3"/>
    </row>
    <row r="621" spans="1:55" ht="13.05" customHeight="1">
      <c r="A621" s="2"/>
      <c r="B621" s="2"/>
      <c r="C621" s="2"/>
      <c r="AZ621" s="3"/>
      <c r="BA621" s="3"/>
      <c r="BB621" s="3"/>
      <c r="BC621" s="3"/>
    </row>
    <row r="622" spans="1:55" ht="13.05" customHeight="1">
      <c r="C622" s="2" t="s">
        <v>2102</v>
      </c>
      <c r="AZ622" s="3"/>
      <c r="BA622" s="3"/>
      <c r="BB622" s="3"/>
      <c r="BC622" s="3"/>
    </row>
    <row r="623" spans="1:55" ht="13.05" customHeight="1">
      <c r="B623" s="513"/>
      <c r="C623" s="2"/>
      <c r="AU623" s="3"/>
      <c r="AZ623" s="3"/>
      <c r="BA623" s="3"/>
      <c r="BB623" s="3"/>
      <c r="BC623" s="3"/>
    </row>
    <row r="624" spans="1:55" ht="13.05" customHeight="1">
      <c r="B624" s="1664" t="s">
        <v>2104</v>
      </c>
      <c r="C624" s="1664"/>
      <c r="D624" s="1664"/>
      <c r="E624" s="1664"/>
      <c r="F624" s="1664"/>
      <c r="G624" s="1664"/>
      <c r="H624" s="1664"/>
      <c r="I624" s="1664"/>
      <c r="J624" s="1664"/>
      <c r="K624" s="1664"/>
      <c r="L624" s="1664"/>
      <c r="M624" s="1669" t="s">
        <v>2105</v>
      </c>
      <c r="N624" s="1669"/>
      <c r="O624" s="1669"/>
      <c r="P624" s="1669"/>
      <c r="Q624" s="1669" t="s">
        <v>1853</v>
      </c>
      <c r="R624" s="1669"/>
      <c r="S624" s="1669"/>
      <c r="T624" s="1669" t="s">
        <v>1851</v>
      </c>
      <c r="U624" s="1669"/>
      <c r="V624" s="1669"/>
      <c r="W624" s="1665" t="s">
        <v>453</v>
      </c>
      <c r="X624" s="1665"/>
      <c r="Y624" s="1665"/>
      <c r="Z624" s="1396" t="s">
        <v>2134</v>
      </c>
      <c r="AA624" s="1396"/>
      <c r="AB624" s="1397"/>
      <c r="AC624" s="1670" t="s">
        <v>1676</v>
      </c>
      <c r="AD624" s="1671"/>
      <c r="AE624" s="1672"/>
      <c r="AF624" s="1395" t="s">
        <v>1931</v>
      </c>
      <c r="AG624" s="1396"/>
      <c r="AH624" s="1396"/>
      <c r="AI624" s="1396"/>
      <c r="AJ624" s="1397"/>
      <c r="AK624" s="1584" t="s">
        <v>1932</v>
      </c>
      <c r="AL624" s="1585"/>
      <c r="AM624" s="1585"/>
      <c r="AN624" s="1586"/>
      <c r="AO624" s="1669" t="s">
        <v>454</v>
      </c>
      <c r="AP624" s="1669"/>
      <c r="AQ624" s="1669"/>
      <c r="AR624" s="1669"/>
      <c r="AS624" s="1669"/>
      <c r="AU624" s="3"/>
      <c r="AZ624" s="3"/>
      <c r="BA624" s="3"/>
      <c r="BB624" s="3"/>
      <c r="BC624" s="3"/>
    </row>
    <row r="625" spans="2:157" ht="13.05" customHeight="1">
      <c r="B625" s="1664"/>
      <c r="C625" s="1664"/>
      <c r="D625" s="1664"/>
      <c r="E625" s="1664"/>
      <c r="F625" s="1664"/>
      <c r="G625" s="1664"/>
      <c r="H625" s="1664"/>
      <c r="I625" s="1664"/>
      <c r="J625" s="1664"/>
      <c r="K625" s="1664"/>
      <c r="L625" s="1664"/>
      <c r="M625" s="1669"/>
      <c r="N625" s="1669"/>
      <c r="O625" s="1669"/>
      <c r="P625" s="1669"/>
      <c r="Q625" s="1669"/>
      <c r="R625" s="1669"/>
      <c r="S625" s="1669"/>
      <c r="T625" s="1669"/>
      <c r="U625" s="1669"/>
      <c r="V625" s="1669"/>
      <c r="W625" s="1665"/>
      <c r="X625" s="1665"/>
      <c r="Y625" s="1665"/>
      <c r="Z625" s="1399"/>
      <c r="AA625" s="1399"/>
      <c r="AB625" s="1400"/>
      <c r="AC625" s="1673"/>
      <c r="AD625" s="1674"/>
      <c r="AE625" s="1675"/>
      <c r="AF625" s="1398"/>
      <c r="AG625" s="1399"/>
      <c r="AH625" s="1399"/>
      <c r="AI625" s="1399"/>
      <c r="AJ625" s="1400"/>
      <c r="AK625" s="1587"/>
      <c r="AL625" s="1588"/>
      <c r="AM625" s="1588"/>
      <c r="AN625" s="1589"/>
      <c r="AO625" s="1669"/>
      <c r="AP625" s="1669"/>
      <c r="AQ625" s="1669"/>
      <c r="AR625" s="1669"/>
      <c r="AS625" s="1669"/>
      <c r="AU625" s="3"/>
      <c r="AZ625" s="3"/>
      <c r="BA625" s="3"/>
      <c r="BB625" s="3"/>
      <c r="BC625" s="3"/>
      <c r="BD625" s="3"/>
    </row>
    <row r="626" spans="2:157" ht="13.05" customHeight="1">
      <c r="B626" s="1664"/>
      <c r="C626" s="1664"/>
      <c r="D626" s="1664"/>
      <c r="E626" s="1664"/>
      <c r="F626" s="1664"/>
      <c r="G626" s="1664"/>
      <c r="H626" s="1664"/>
      <c r="I626" s="1664"/>
      <c r="J626" s="1664"/>
      <c r="K626" s="1664"/>
      <c r="L626" s="1664"/>
      <c r="M626" s="1669"/>
      <c r="N626" s="1669"/>
      <c r="O626" s="1669"/>
      <c r="P626" s="1669"/>
      <c r="Q626" s="1669"/>
      <c r="R626" s="1669"/>
      <c r="S626" s="1669"/>
      <c r="T626" s="1669"/>
      <c r="U626" s="1669"/>
      <c r="V626" s="1669"/>
      <c r="W626" s="1665"/>
      <c r="X626" s="1665"/>
      <c r="Y626" s="1665"/>
      <c r="Z626" s="1402"/>
      <c r="AA626" s="1402"/>
      <c r="AB626" s="1403"/>
      <c r="AC626" s="1676"/>
      <c r="AD626" s="1677"/>
      <c r="AE626" s="1678"/>
      <c r="AF626" s="1401"/>
      <c r="AG626" s="1402"/>
      <c r="AH626" s="1402"/>
      <c r="AI626" s="1402"/>
      <c r="AJ626" s="1403"/>
      <c r="AK626" s="1590"/>
      <c r="AL626" s="1591"/>
      <c r="AM626" s="1591"/>
      <c r="AN626" s="1592"/>
      <c r="AO626" s="1669"/>
      <c r="AP626" s="1669"/>
      <c r="AQ626" s="1669"/>
      <c r="AR626" s="1669"/>
      <c r="AS626" s="1669"/>
      <c r="AT626" s="3"/>
      <c r="AU626" s="3"/>
      <c r="AZ626" s="3"/>
      <c r="BA626" s="3"/>
      <c r="BB626" s="3"/>
      <c r="BC626" s="3"/>
      <c r="BD626" s="3"/>
    </row>
    <row r="627" spans="2:157" ht="13.05" customHeight="1">
      <c r="B627" s="51" t="s">
        <v>112</v>
      </c>
      <c r="C627" s="1478" t="s">
        <v>2697</v>
      </c>
      <c r="D627" s="1478"/>
      <c r="E627" s="1478"/>
      <c r="F627" s="1478"/>
      <c r="G627" s="1478"/>
      <c r="H627" s="1478"/>
      <c r="I627" s="1478"/>
      <c r="J627" s="1478"/>
      <c r="K627" s="1478"/>
      <c r="L627" s="1478"/>
      <c r="M627" s="1492" t="s">
        <v>2121</v>
      </c>
      <c r="N627" s="1492"/>
      <c r="O627" s="1492"/>
      <c r="P627" s="1492"/>
      <c r="Q627" s="1507">
        <v>216</v>
      </c>
      <c r="R627" s="1507"/>
      <c r="S627" s="1508"/>
      <c r="T627" s="1506">
        <v>420</v>
      </c>
      <c r="U627" s="1507"/>
      <c r="V627" s="1508"/>
      <c r="W627" s="1479">
        <v>6.3E-2</v>
      </c>
      <c r="X627" s="1480"/>
      <c r="Y627" s="1481"/>
      <c r="Z627" s="1475" t="s">
        <v>2133</v>
      </c>
      <c r="AA627" s="1476"/>
      <c r="AB627" s="1477"/>
      <c r="AC627" s="1380">
        <v>1</v>
      </c>
      <c r="AD627" s="1381"/>
      <c r="AE627" s="1382"/>
      <c r="AF627" s="1489">
        <v>389715</v>
      </c>
      <c r="AG627" s="1490"/>
      <c r="AH627" s="1490"/>
      <c r="AI627" s="1490"/>
      <c r="AJ627" s="1491"/>
      <c r="AK627" s="1483"/>
      <c r="AL627" s="1484"/>
      <c r="AM627" s="1484"/>
      <c r="AN627" s="1485"/>
      <c r="AO627" s="1633">
        <v>5500000</v>
      </c>
      <c r="AP627" s="1633"/>
      <c r="AQ627" s="1633"/>
      <c r="AR627" s="1633"/>
      <c r="AS627" s="1633"/>
      <c r="AT627" s="3"/>
      <c r="AU627" s="3"/>
      <c r="AZ627" s="3"/>
      <c r="BA627" s="3"/>
      <c r="BB627" s="3"/>
      <c r="BC627" s="3"/>
      <c r="BD627" s="3"/>
    </row>
    <row r="628" spans="2:157" ht="13.05" customHeight="1">
      <c r="B628" s="52" t="s">
        <v>113</v>
      </c>
      <c r="C628" s="1478" t="s">
        <v>2718</v>
      </c>
      <c r="D628" s="1478"/>
      <c r="E628" s="1478"/>
      <c r="F628" s="1478"/>
      <c r="G628" s="1478"/>
      <c r="H628" s="1478"/>
      <c r="I628" s="1478"/>
      <c r="J628" s="1478"/>
      <c r="K628" s="1478"/>
      <c r="L628" s="1478"/>
      <c r="M628" s="1492" t="s">
        <v>2118</v>
      </c>
      <c r="N628" s="1492"/>
      <c r="O628" s="1492"/>
      <c r="P628" s="1492"/>
      <c r="Q628" s="1506">
        <v>660</v>
      </c>
      <c r="R628" s="1507"/>
      <c r="S628" s="1508"/>
      <c r="T628" s="1506"/>
      <c r="U628" s="1507"/>
      <c r="V628" s="1508"/>
      <c r="W628" s="1479">
        <v>4.53E-2</v>
      </c>
      <c r="X628" s="1480"/>
      <c r="Y628" s="1481"/>
      <c r="Z628" s="1475" t="s">
        <v>457</v>
      </c>
      <c r="AA628" s="1476"/>
      <c r="AB628" s="1477"/>
      <c r="AC628" s="1380">
        <v>3</v>
      </c>
      <c r="AD628" s="1381"/>
      <c r="AE628" s="1382"/>
      <c r="AF628" s="1489"/>
      <c r="AG628" s="1490"/>
      <c r="AH628" s="1490"/>
      <c r="AI628" s="1490"/>
      <c r="AJ628" s="1491"/>
      <c r="AK628" s="1483"/>
      <c r="AL628" s="1484"/>
      <c r="AM628" s="1484"/>
      <c r="AN628" s="1485"/>
      <c r="AO628" s="1474">
        <v>9712774</v>
      </c>
      <c r="AP628" s="1337"/>
      <c r="AQ628" s="1337"/>
      <c r="AR628" s="1337"/>
      <c r="AS628" s="1338"/>
      <c r="AT628" s="1150" t="str">
        <f>IF(AND(NOT(C627=""),C628="",NOT(C629="")),"!","")</f>
        <v/>
      </c>
      <c r="AU628" s="3"/>
      <c r="AZ628" s="3"/>
      <c r="BA628" s="3"/>
      <c r="BB628" s="3"/>
      <c r="BC628" s="3"/>
      <c r="BD628" s="3"/>
    </row>
    <row r="629" spans="2:157" ht="13.05" customHeight="1">
      <c r="B629" s="52" t="s">
        <v>119</v>
      </c>
      <c r="C629" s="1478" t="s">
        <v>2698</v>
      </c>
      <c r="D629" s="1478"/>
      <c r="E629" s="1478"/>
      <c r="F629" s="1478"/>
      <c r="G629" s="1478"/>
      <c r="H629" s="1478"/>
      <c r="I629" s="1478"/>
      <c r="J629" s="1478"/>
      <c r="K629" s="1478"/>
      <c r="L629" s="1478"/>
      <c r="M629" s="1492" t="s">
        <v>2106</v>
      </c>
      <c r="N629" s="1492"/>
      <c r="O629" s="1492"/>
      <c r="P629" s="1492"/>
      <c r="Q629" s="1506"/>
      <c r="R629" s="1507"/>
      <c r="S629" s="1508"/>
      <c r="T629" s="1506"/>
      <c r="U629" s="1507"/>
      <c r="V629" s="1508"/>
      <c r="W629" s="1479"/>
      <c r="X629" s="1480"/>
      <c r="Y629" s="1481"/>
      <c r="Z629" s="1475" t="s">
        <v>457</v>
      </c>
      <c r="AA629" s="1476"/>
      <c r="AB629" s="1477"/>
      <c r="AC629" s="1380"/>
      <c r="AD629" s="1381"/>
      <c r="AE629" s="1382"/>
      <c r="AF629" s="1489"/>
      <c r="AG629" s="1490"/>
      <c r="AH629" s="1490"/>
      <c r="AI629" s="1490"/>
      <c r="AJ629" s="1491"/>
      <c r="AK629" s="1483"/>
      <c r="AL629" s="1484"/>
      <c r="AM629" s="1484"/>
      <c r="AN629" s="1485"/>
      <c r="AO629" s="1474">
        <v>919258</v>
      </c>
      <c r="AP629" s="1337"/>
      <c r="AQ629" s="1337"/>
      <c r="AR629" s="1337"/>
      <c r="AS629" s="1338"/>
      <c r="AT629" s="1150" t="str">
        <f t="shared" ref="AT629:AT638" si="1">IF(AND(NOT(C628=""),C629="",NOT(C630="")),"!","")</f>
        <v/>
      </c>
      <c r="AU629" s="3"/>
      <c r="AZ629" s="3"/>
      <c r="BA629" s="3"/>
      <c r="BB629" s="3"/>
      <c r="BC629" s="3"/>
      <c r="BD629" s="3"/>
    </row>
    <row r="630" spans="2:157" ht="13.05" customHeight="1">
      <c r="B630" s="52" t="s">
        <v>581</v>
      </c>
      <c r="C630" s="1478" t="s">
        <v>2740</v>
      </c>
      <c r="D630" s="1488"/>
      <c r="E630" s="1488"/>
      <c r="F630" s="1488"/>
      <c r="G630" s="1488"/>
      <c r="H630" s="1488"/>
      <c r="I630" s="1488"/>
      <c r="J630" s="1488"/>
      <c r="K630" s="1488"/>
      <c r="L630" s="1488"/>
      <c r="M630" s="1492" t="s">
        <v>2117</v>
      </c>
      <c r="N630" s="1492"/>
      <c r="O630" s="1492"/>
      <c r="P630" s="1492"/>
      <c r="Q630" s="1506">
        <v>660</v>
      </c>
      <c r="R630" s="1507"/>
      <c r="S630" s="1508"/>
      <c r="T630" s="1506"/>
      <c r="U630" s="1507"/>
      <c r="V630" s="1508"/>
      <c r="W630" s="1479">
        <v>0</v>
      </c>
      <c r="X630" s="1480"/>
      <c r="Y630" s="1481"/>
      <c r="Z630" s="1475" t="s">
        <v>457</v>
      </c>
      <c r="AA630" s="1476"/>
      <c r="AB630" s="1477"/>
      <c r="AC630" s="1380">
        <v>4</v>
      </c>
      <c r="AD630" s="1381"/>
      <c r="AE630" s="1382"/>
      <c r="AF630" s="1489"/>
      <c r="AG630" s="1490"/>
      <c r="AH630" s="1490"/>
      <c r="AI630" s="1490"/>
      <c r="AJ630" s="1491"/>
      <c r="AK630" s="1483"/>
      <c r="AL630" s="1484"/>
      <c r="AM630" s="1484"/>
      <c r="AN630" s="1485"/>
      <c r="AO630" s="1474">
        <v>3182180</v>
      </c>
      <c r="AP630" s="1337"/>
      <c r="AQ630" s="1337"/>
      <c r="AR630" s="1337"/>
      <c r="AS630" s="1338"/>
      <c r="AT630" s="1150" t="str">
        <f t="shared" si="1"/>
        <v/>
      </c>
      <c r="AU630" s="3"/>
      <c r="AZ630" s="3"/>
      <c r="BA630" s="3"/>
      <c r="BB630" s="3"/>
      <c r="BC630" s="3"/>
      <c r="BD630" s="3"/>
    </row>
    <row r="631" spans="2:157" ht="13.05" customHeight="1">
      <c r="B631" s="52" t="s">
        <v>763</v>
      </c>
      <c r="C631" s="1488" t="s">
        <v>2699</v>
      </c>
      <c r="D631" s="1488"/>
      <c r="E631" s="1488"/>
      <c r="F631" s="1488"/>
      <c r="G631" s="1488"/>
      <c r="H631" s="1488"/>
      <c r="I631" s="1488"/>
      <c r="J631" s="1488"/>
      <c r="K631" s="1488"/>
      <c r="L631" s="1488"/>
      <c r="M631" s="1492" t="s">
        <v>2117</v>
      </c>
      <c r="N631" s="1492"/>
      <c r="O631" s="1492"/>
      <c r="P631" s="1492"/>
      <c r="Q631" s="1506">
        <v>660</v>
      </c>
      <c r="R631" s="1507"/>
      <c r="S631" s="1508"/>
      <c r="T631" s="1506"/>
      <c r="U631" s="1507"/>
      <c r="V631" s="1508"/>
      <c r="W631" s="1479">
        <v>4.53E-2</v>
      </c>
      <c r="X631" s="1480"/>
      <c r="Y631" s="1481"/>
      <c r="Z631" s="1475" t="s">
        <v>457</v>
      </c>
      <c r="AA631" s="1476"/>
      <c r="AB631" s="1477"/>
      <c r="AC631" s="1380">
        <v>2</v>
      </c>
      <c r="AD631" s="1381"/>
      <c r="AE631" s="1382"/>
      <c r="AF631" s="1489"/>
      <c r="AG631" s="1490"/>
      <c r="AH631" s="1490"/>
      <c r="AI631" s="1490"/>
      <c r="AJ631" s="1491"/>
      <c r="AK631" s="1483"/>
      <c r="AL631" s="1484"/>
      <c r="AM631" s="1484"/>
      <c r="AN631" s="1485"/>
      <c r="AO631" s="1474">
        <v>3805046</v>
      </c>
      <c r="AP631" s="1337"/>
      <c r="AQ631" s="1337"/>
      <c r="AR631" s="1337"/>
      <c r="AS631" s="1338"/>
      <c r="AT631" s="1150" t="str">
        <f t="shared" si="1"/>
        <v/>
      </c>
      <c r="AU631" s="3"/>
      <c r="AZ631" s="3"/>
      <c r="BA631" s="3"/>
      <c r="BB631" s="3"/>
      <c r="BC631" s="3"/>
      <c r="BD631" s="3"/>
    </row>
    <row r="632" spans="2:157" ht="13.05" customHeight="1">
      <c r="B632" s="52" t="s">
        <v>584</v>
      </c>
      <c r="C632" s="1488" t="s">
        <v>2700</v>
      </c>
      <c r="D632" s="1488"/>
      <c r="E632" s="1488"/>
      <c r="F632" s="1488"/>
      <c r="G632" s="1488"/>
      <c r="H632" s="1488"/>
      <c r="I632" s="1488"/>
      <c r="J632" s="1488"/>
      <c r="K632" s="1488"/>
      <c r="L632" s="1488"/>
      <c r="M632" s="1492" t="s">
        <v>2106</v>
      </c>
      <c r="N632" s="1492"/>
      <c r="O632" s="1492"/>
      <c r="P632" s="1492"/>
      <c r="Q632" s="1506"/>
      <c r="R632" s="1507"/>
      <c r="S632" s="1508"/>
      <c r="T632" s="1506"/>
      <c r="U632" s="1507"/>
      <c r="V632" s="1508"/>
      <c r="W632" s="1479"/>
      <c r="X632" s="1480"/>
      <c r="Y632" s="1481"/>
      <c r="Z632" s="1475" t="s">
        <v>457</v>
      </c>
      <c r="AA632" s="1476"/>
      <c r="AB632" s="1477"/>
      <c r="AC632" s="1380"/>
      <c r="AD632" s="1381"/>
      <c r="AE632" s="1382"/>
      <c r="AF632" s="1489"/>
      <c r="AG632" s="1490"/>
      <c r="AH632" s="1490"/>
      <c r="AI632" s="1490"/>
      <c r="AJ632" s="1491"/>
      <c r="AK632" s="1483"/>
      <c r="AL632" s="1484"/>
      <c r="AM632" s="1484"/>
      <c r="AN632" s="1485"/>
      <c r="AO632" s="1474">
        <v>360126</v>
      </c>
      <c r="AP632" s="1337"/>
      <c r="AQ632" s="1337"/>
      <c r="AR632" s="1337"/>
      <c r="AS632" s="1338"/>
      <c r="AT632" s="1150" t="str">
        <f t="shared" si="1"/>
        <v/>
      </c>
      <c r="AU632" s="3"/>
      <c r="AZ632" s="3"/>
      <c r="BA632" s="3"/>
      <c r="BB632" s="3"/>
      <c r="BC632" s="3"/>
      <c r="BD632" s="3"/>
    </row>
    <row r="633" spans="2:157" ht="13.05" customHeight="1">
      <c r="B633" s="52" t="s">
        <v>455</v>
      </c>
      <c r="C633" s="1488" t="s">
        <v>2719</v>
      </c>
      <c r="D633" s="1488"/>
      <c r="E633" s="1488"/>
      <c r="F633" s="1488"/>
      <c r="G633" s="1488"/>
      <c r="H633" s="1488"/>
      <c r="I633" s="1488"/>
      <c r="J633" s="1488"/>
      <c r="K633" s="1488"/>
      <c r="L633" s="1488"/>
      <c r="M633" s="1492" t="s">
        <v>2123</v>
      </c>
      <c r="N633" s="1492"/>
      <c r="O633" s="1492"/>
      <c r="P633" s="1492"/>
      <c r="Q633" s="1506"/>
      <c r="R633" s="1507"/>
      <c r="S633" s="1508"/>
      <c r="T633" s="1506"/>
      <c r="U633" s="1507"/>
      <c r="V633" s="1508"/>
      <c r="W633" s="1479"/>
      <c r="X633" s="1480"/>
      <c r="Y633" s="1481"/>
      <c r="Z633" s="1475" t="s">
        <v>1184</v>
      </c>
      <c r="AA633" s="1476"/>
      <c r="AB633" s="1477"/>
      <c r="AC633" s="1380"/>
      <c r="AD633" s="1381"/>
      <c r="AE633" s="1382"/>
      <c r="AF633" s="1489"/>
      <c r="AG633" s="1490"/>
      <c r="AH633" s="1490"/>
      <c r="AI633" s="1490"/>
      <c r="AJ633" s="1491"/>
      <c r="AK633" s="1483"/>
      <c r="AL633" s="1484"/>
      <c r="AM633" s="1484"/>
      <c r="AN633" s="1485"/>
      <c r="AO633" s="1474">
        <v>495500</v>
      </c>
      <c r="AP633" s="1337"/>
      <c r="AQ633" s="1337"/>
      <c r="AR633" s="1337"/>
      <c r="AS633" s="1338"/>
      <c r="AT633" s="1150" t="str">
        <f t="shared" si="1"/>
        <v/>
      </c>
      <c r="AU633" s="3"/>
      <c r="AV633" s="3"/>
      <c r="AW633" s="3"/>
      <c r="AX633" s="3"/>
      <c r="AY633" s="3"/>
      <c r="AZ633" s="3"/>
      <c r="BA633" s="3"/>
      <c r="BB633" s="3"/>
      <c r="BC633" s="3"/>
      <c r="BD633" s="3"/>
    </row>
    <row r="634" spans="2:157" ht="13.05" customHeight="1">
      <c r="B634" s="52" t="s">
        <v>456</v>
      </c>
      <c r="C634" s="1488" t="s">
        <v>2324</v>
      </c>
      <c r="D634" s="1488"/>
      <c r="E634" s="1488"/>
      <c r="F634" s="1488"/>
      <c r="G634" s="1488"/>
      <c r="H634" s="1488"/>
      <c r="I634" s="1488"/>
      <c r="J634" s="1488"/>
      <c r="K634" s="1488"/>
      <c r="L634" s="1488"/>
      <c r="M634" s="1492" t="s">
        <v>2108</v>
      </c>
      <c r="N634" s="1492"/>
      <c r="O634" s="1492"/>
      <c r="P634" s="1492"/>
      <c r="Q634" s="1506"/>
      <c r="R634" s="1507"/>
      <c r="S634" s="1508"/>
      <c r="T634" s="1506"/>
      <c r="U634" s="1507"/>
      <c r="V634" s="1508"/>
      <c r="W634" s="1479"/>
      <c r="X634" s="1480"/>
      <c r="Y634" s="1481"/>
      <c r="Z634" s="1475" t="s">
        <v>457</v>
      </c>
      <c r="AA634" s="1476"/>
      <c r="AB634" s="1477"/>
      <c r="AC634" s="1380"/>
      <c r="AD634" s="1381"/>
      <c r="AE634" s="1382"/>
      <c r="AF634" s="1489"/>
      <c r="AG634" s="1490"/>
      <c r="AH634" s="1490"/>
      <c r="AI634" s="1490"/>
      <c r="AJ634" s="1491"/>
      <c r="AK634" s="1483"/>
      <c r="AL634" s="1484"/>
      <c r="AM634" s="1484"/>
      <c r="AN634" s="1485"/>
      <c r="AO634" s="1474">
        <v>3481500</v>
      </c>
      <c r="AP634" s="1337"/>
      <c r="AQ634" s="1337"/>
      <c r="AR634" s="1337"/>
      <c r="AS634" s="1338"/>
      <c r="AT634" s="1150" t="str">
        <f t="shared" si="1"/>
        <v/>
      </c>
      <c r="AU634" s="3"/>
      <c r="AV634" s="3"/>
      <c r="AW634" s="3"/>
      <c r="AX634" s="3"/>
      <c r="AY634" s="3"/>
      <c r="AZ634" s="3"/>
      <c r="BA634" s="3" t="s">
        <v>1184</v>
      </c>
      <c r="BB634" s="3"/>
      <c r="BC634" s="3"/>
      <c r="BD634" s="3"/>
    </row>
    <row r="635" spans="2:157" ht="13.05" customHeight="1">
      <c r="B635" s="52" t="s">
        <v>461</v>
      </c>
      <c r="C635" s="1488" t="s">
        <v>2701</v>
      </c>
      <c r="D635" s="1488"/>
      <c r="E635" s="1488"/>
      <c r="F635" s="1488"/>
      <c r="G635" s="1488"/>
      <c r="H635" s="1488"/>
      <c r="I635" s="1488"/>
      <c r="J635" s="1488"/>
      <c r="K635" s="1488"/>
      <c r="L635" s="1488"/>
      <c r="M635" s="1492" t="s">
        <v>2125</v>
      </c>
      <c r="N635" s="1492"/>
      <c r="O635" s="1492"/>
      <c r="P635" s="1492"/>
      <c r="Q635" s="1506"/>
      <c r="R635" s="1507"/>
      <c r="S635" s="1508"/>
      <c r="T635" s="1506"/>
      <c r="U635" s="1507"/>
      <c r="V635" s="1508"/>
      <c r="W635" s="1479"/>
      <c r="X635" s="1480"/>
      <c r="Y635" s="1481"/>
      <c r="Z635" s="1475" t="s">
        <v>1184</v>
      </c>
      <c r="AA635" s="1476"/>
      <c r="AB635" s="1477"/>
      <c r="AC635" s="1380"/>
      <c r="AD635" s="1381"/>
      <c r="AE635" s="1382"/>
      <c r="AF635" s="1489"/>
      <c r="AG635" s="1490"/>
      <c r="AH635" s="1490"/>
      <c r="AI635" s="1490"/>
      <c r="AJ635" s="1491"/>
      <c r="AK635" s="1483"/>
      <c r="AL635" s="1484"/>
      <c r="AM635" s="1484"/>
      <c r="AN635" s="1485"/>
      <c r="AO635" s="1474">
        <v>1082533</v>
      </c>
      <c r="AP635" s="1337"/>
      <c r="AQ635" s="1337"/>
      <c r="AR635" s="1337"/>
      <c r="AS635" s="1338"/>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t="e">
        <f t="shared" ref="DX635:DX669" si="2">EZ718*(CP718/$CP$753)</f>
        <v>#VALUE!</v>
      </c>
      <c r="DY635" s="1368"/>
      <c r="DZ635" s="1368"/>
      <c r="EA635" s="1368"/>
      <c r="EB635" s="1368"/>
      <c r="EC635" s="1368">
        <f t="shared" ref="EC635:EC669" si="3">FE718*(CU718/$CU$753)</f>
        <v>140.47619047619048</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3.05" customHeight="1">
      <c r="B636" s="52" t="s">
        <v>646</v>
      </c>
      <c r="C636" s="1488" t="s">
        <v>2720</v>
      </c>
      <c r="D636" s="1488"/>
      <c r="E636" s="1488"/>
      <c r="F636" s="1488"/>
      <c r="G636" s="1488"/>
      <c r="H636" s="1488"/>
      <c r="I636" s="1488"/>
      <c r="J636" s="1488"/>
      <c r="K636" s="1488"/>
      <c r="L636" s="1488"/>
      <c r="M636" s="1492" t="s">
        <v>2117</v>
      </c>
      <c r="N636" s="1492"/>
      <c r="O636" s="1492"/>
      <c r="P636" s="1492"/>
      <c r="Q636" s="1506">
        <v>660</v>
      </c>
      <c r="R636" s="1507"/>
      <c r="S636" s="1508"/>
      <c r="T636" s="1506"/>
      <c r="U636" s="1507"/>
      <c r="V636" s="1508"/>
      <c r="W636" s="1479">
        <v>0</v>
      </c>
      <c r="X636" s="1480"/>
      <c r="Y636" s="1481"/>
      <c r="Z636" s="1475" t="s">
        <v>457</v>
      </c>
      <c r="AA636" s="1476"/>
      <c r="AB636" s="1477"/>
      <c r="AC636" s="1380">
        <v>5</v>
      </c>
      <c r="AD636" s="1381"/>
      <c r="AE636" s="1382"/>
      <c r="AF636" s="1489"/>
      <c r="AG636" s="1490"/>
      <c r="AH636" s="1490"/>
      <c r="AI636" s="1490"/>
      <c r="AJ636" s="1491"/>
      <c r="AK636" s="1483"/>
      <c r="AL636" s="1484"/>
      <c r="AM636" s="1484"/>
      <c r="AN636" s="1485"/>
      <c r="AO636" s="1474">
        <v>287500</v>
      </c>
      <c r="AP636" s="1337"/>
      <c r="AQ636" s="1337"/>
      <c r="AR636" s="1337"/>
      <c r="AS636" s="1338"/>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8" t="e">
        <f t="shared" si="2"/>
        <v>#VALUE!</v>
      </c>
      <c r="DY636" s="1368"/>
      <c r="DZ636" s="1368"/>
      <c r="EA636" s="1368"/>
      <c r="EB636" s="1368"/>
      <c r="EC636" s="1368">
        <f t="shared" si="3"/>
        <v>870.2380952380953</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3.05" customHeight="1">
      <c r="B637" s="52" t="s">
        <v>361</v>
      </c>
      <c r="C637" s="1488"/>
      <c r="D637" s="1488"/>
      <c r="E637" s="1488"/>
      <c r="F637" s="1488"/>
      <c r="G637" s="1488"/>
      <c r="H637" s="1488"/>
      <c r="I637" s="1488"/>
      <c r="J637" s="1488"/>
      <c r="K637" s="1488"/>
      <c r="L637" s="1488"/>
      <c r="M637" s="1492" t="s">
        <v>1184</v>
      </c>
      <c r="N637" s="1492"/>
      <c r="O637" s="1492"/>
      <c r="P637" s="1492"/>
      <c r="Q637" s="1506"/>
      <c r="R637" s="1507"/>
      <c r="S637" s="1508"/>
      <c r="T637" s="1506"/>
      <c r="U637" s="1507"/>
      <c r="V637" s="1508"/>
      <c r="W637" s="1479"/>
      <c r="X637" s="1480"/>
      <c r="Y637" s="1481"/>
      <c r="Z637" s="1475" t="s">
        <v>1184</v>
      </c>
      <c r="AA637" s="1476"/>
      <c r="AB637" s="1477"/>
      <c r="AC637" s="1380"/>
      <c r="AD637" s="1381"/>
      <c r="AE637" s="1382"/>
      <c r="AF637" s="1489"/>
      <c r="AG637" s="1490"/>
      <c r="AH637" s="1490"/>
      <c r="AI637" s="1490"/>
      <c r="AJ637" s="1491"/>
      <c r="AK637" s="1483"/>
      <c r="AL637" s="1484"/>
      <c r="AM637" s="1484"/>
      <c r="AN637" s="1485"/>
      <c r="AO637" s="1474"/>
      <c r="AP637" s="1337"/>
      <c r="AQ637" s="1337"/>
      <c r="AR637" s="1337"/>
      <c r="AS637" s="1338"/>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8" t="e">
        <f t="shared" si="2"/>
        <v>#VALUE!</v>
      </c>
      <c r="DY637" s="1368"/>
      <c r="DZ637" s="1368"/>
      <c r="EA637" s="1368"/>
      <c r="EB637" s="1368"/>
      <c r="EC637" s="1368">
        <f t="shared" si="3"/>
        <v>243.65079365079364</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3.05" customHeight="1">
      <c r="B638" s="52" t="s">
        <v>362</v>
      </c>
      <c r="C638" s="1488"/>
      <c r="D638" s="1488"/>
      <c r="E638" s="1488"/>
      <c r="F638" s="1488"/>
      <c r="G638" s="1488"/>
      <c r="H638" s="1488"/>
      <c r="I638" s="1488"/>
      <c r="J638" s="1488"/>
      <c r="K638" s="1488"/>
      <c r="L638" s="1488"/>
      <c r="M638" s="1492" t="s">
        <v>1184</v>
      </c>
      <c r="N638" s="1492"/>
      <c r="O638" s="1492"/>
      <c r="P638" s="1492"/>
      <c r="Q638" s="1506"/>
      <c r="R638" s="1507"/>
      <c r="S638" s="1508"/>
      <c r="T638" s="1506"/>
      <c r="U638" s="1507"/>
      <c r="V638" s="1508"/>
      <c r="W638" s="1479"/>
      <c r="X638" s="1480"/>
      <c r="Y638" s="1481"/>
      <c r="Z638" s="1475" t="s">
        <v>1184</v>
      </c>
      <c r="AA638" s="1476"/>
      <c r="AB638" s="1477"/>
      <c r="AC638" s="1380"/>
      <c r="AD638" s="1381"/>
      <c r="AE638" s="1382"/>
      <c r="AF638" s="1489"/>
      <c r="AG638" s="1490"/>
      <c r="AH638" s="1490"/>
      <c r="AI638" s="1490"/>
      <c r="AJ638" s="1491"/>
      <c r="AK638" s="1483"/>
      <c r="AL638" s="1484"/>
      <c r="AM638" s="1484"/>
      <c r="AN638" s="1485"/>
      <c r="AO638" s="1474"/>
      <c r="AP638" s="1337"/>
      <c r="AQ638" s="1337"/>
      <c r="AR638" s="1337"/>
      <c r="AS638" s="1338"/>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t="e">
        <f t="shared" si="3"/>
        <v>#VALUE!</v>
      </c>
      <c r="ED638" s="1368"/>
      <c r="EE638" s="1368"/>
      <c r="EF638" s="1368"/>
      <c r="EG638" s="1368"/>
      <c r="EH638" s="1368" t="e">
        <f t="shared" si="4"/>
        <v>#VALUE!</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3.05"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1">
        <f>SUM(AO627:AR638)</f>
        <v>28826417</v>
      </c>
      <c r="AP639" s="1472"/>
      <c r="AQ639" s="1472"/>
      <c r="AR639" s="1472"/>
      <c r="AS639" s="147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t="e">
        <f t="shared" si="3"/>
        <v>#VALUE!</v>
      </c>
      <c r="ED639" s="1368"/>
      <c r="EE639" s="1368"/>
      <c r="EF639" s="1368"/>
      <c r="EG639" s="1368"/>
      <c r="EH639" s="1368" t="e">
        <f t="shared" si="4"/>
        <v>#VALUE!</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3.05"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4">
        <v>14438424</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t="e">
        <f t="shared" si="3"/>
        <v>#VALUE!</v>
      </c>
      <c r="ED640" s="1368"/>
      <c r="EE640" s="1368"/>
      <c r="EF640" s="1368"/>
      <c r="EG640" s="1368"/>
      <c r="EH640" s="1368" t="e">
        <f t="shared" si="4"/>
        <v>#VALUE!</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3.05" customHeight="1">
      <c r="B641" s="1827"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28"/>
      <c r="AO641" s="1471">
        <f>AO639+AO640</f>
        <v>43264841</v>
      </c>
      <c r="AP641" s="1472"/>
      <c r="AQ641" s="1472"/>
      <c r="AR641" s="1472"/>
      <c r="AS641" s="147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t="e">
        <f t="shared" si="3"/>
        <v>#VALUE!</v>
      </c>
      <c r="ED641" s="1368"/>
      <c r="EE641" s="1368"/>
      <c r="EF641" s="1368"/>
      <c r="EG641" s="1368"/>
      <c r="EH641" s="1368" t="e">
        <f t="shared" si="4"/>
        <v>#VALUE!</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3.0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t="e">
        <f t="shared" si="4"/>
        <v>#VALUE!</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3.05" customHeight="1">
      <c r="A643" s="55" t="s">
        <v>112</v>
      </c>
      <c r="B643" t="s">
        <v>463</v>
      </c>
      <c r="G643" s="1482" t="str">
        <f>C627</f>
        <v>Citibank</v>
      </c>
      <c r="H643" s="1482"/>
      <c r="I643" s="1482"/>
      <c r="J643" s="1482"/>
      <c r="K643" s="1482"/>
      <c r="L643" s="1482"/>
      <c r="M643" s="1482"/>
      <c r="N643" s="1482"/>
      <c r="O643" s="1482"/>
      <c r="P643" s="1482"/>
      <c r="Q643" s="1482"/>
      <c r="R643" s="1482"/>
      <c r="S643" s="8"/>
      <c r="T643" s="55" t="s">
        <v>113</v>
      </c>
      <c r="U643" t="s">
        <v>463</v>
      </c>
      <c r="Z643" s="1482" t="str">
        <f>C628</f>
        <v>Seller Note</v>
      </c>
      <c r="AA643" s="1482"/>
      <c r="AB643" s="1482"/>
      <c r="AC643" s="1482"/>
      <c r="AD643" s="1482"/>
      <c r="AE643" s="1482"/>
      <c r="AF643" s="1482"/>
      <c r="AG643" s="1482"/>
      <c r="AH643" s="1482"/>
      <c r="AI643" s="1482"/>
      <c r="AJ643" s="1482"/>
      <c r="AK643" s="148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t="e">
        <f t="shared" si="4"/>
        <v>#VALUE!</v>
      </c>
      <c r="EI643" s="1368"/>
      <c r="EJ643" s="1368"/>
      <c r="EK643" s="1368"/>
      <c r="EL643" s="1368"/>
      <c r="EM643" s="1368" t="e">
        <f t="shared" si="5"/>
        <v>#VALUE!</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3.05" customHeight="1">
      <c r="A644" s="22"/>
      <c r="B644" t="s">
        <v>85</v>
      </c>
      <c r="G644" s="1406" t="s">
        <v>2706</v>
      </c>
      <c r="H644" s="1406"/>
      <c r="I644" s="1406"/>
      <c r="J644" s="1406"/>
      <c r="K644" s="1406"/>
      <c r="L644" s="1406"/>
      <c r="M644" s="1406"/>
      <c r="N644" s="1406"/>
      <c r="O644" s="1406"/>
      <c r="P644" s="1406"/>
      <c r="Q644" s="1406"/>
      <c r="R644" s="1406"/>
      <c r="S644" s="8"/>
      <c r="T644" s="22"/>
      <c r="U644" t="s">
        <v>85</v>
      </c>
      <c r="Z644" s="1406" t="s">
        <v>2620</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t="e">
        <f t="shared" si="4"/>
        <v>#VALUE!</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3.05" customHeight="1">
      <c r="A645" s="22"/>
      <c r="B645" t="s">
        <v>580</v>
      </c>
      <c r="G645" s="1406" t="s">
        <v>2707</v>
      </c>
      <c r="H645" s="1406"/>
      <c r="I645" s="1406"/>
      <c r="J645" s="1406"/>
      <c r="K645" s="1406"/>
      <c r="L645" s="1406"/>
      <c r="M645" s="1406"/>
      <c r="N645" s="1406"/>
      <c r="O645" s="1406"/>
      <c r="P645" s="1406"/>
      <c r="Q645" s="1406"/>
      <c r="R645" s="1406"/>
      <c r="T645" s="22"/>
      <c r="U645" t="s">
        <v>580</v>
      </c>
      <c r="Z645" s="1370" t="s">
        <v>2711</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t="e">
        <f t="shared" si="4"/>
        <v>#VALUE!</v>
      </c>
      <c r="EI645" s="1368"/>
      <c r="EJ645" s="1368"/>
      <c r="EK645" s="1368"/>
      <c r="EL645" s="1368"/>
      <c r="EM645" s="1368" t="e">
        <f t="shared" si="5"/>
        <v>#VALUE!</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3.05" customHeight="1">
      <c r="A646" s="22"/>
      <c r="B646" t="s">
        <v>17</v>
      </c>
      <c r="G646" s="1406" t="s">
        <v>2721</v>
      </c>
      <c r="H646" s="1406"/>
      <c r="I646" s="1406"/>
      <c r="J646" s="1406"/>
      <c r="K646" s="1406"/>
      <c r="L646" s="1406"/>
      <c r="M646" s="1406"/>
      <c r="N646" s="1406"/>
      <c r="O646" s="1406"/>
      <c r="P646" s="1406"/>
      <c r="Q646" s="1406"/>
      <c r="R646" s="1406"/>
      <c r="S646" s="8"/>
      <c r="T646" s="22"/>
      <c r="U646" t="s">
        <v>17</v>
      </c>
      <c r="Z646" s="1370" t="s">
        <v>2712</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t="e">
        <f t="shared" si="4"/>
        <v>#VALUE!</v>
      </c>
      <c r="EI646" s="1368"/>
      <c r="EJ646" s="1368"/>
      <c r="EK646" s="1368"/>
      <c r="EL646" s="1368"/>
      <c r="EM646" s="1368" t="e">
        <f t="shared" si="5"/>
        <v>#VALUE!</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3.05" customHeight="1">
      <c r="A647" s="22"/>
      <c r="B647" t="s">
        <v>315</v>
      </c>
      <c r="G647" s="1486">
        <v>6503031847</v>
      </c>
      <c r="H647" s="1486"/>
      <c r="I647" s="1486"/>
      <c r="J647" s="1486"/>
      <c r="K647" s="1486"/>
      <c r="L647" s="1486"/>
      <c r="O647" s="33" t="s">
        <v>205</v>
      </c>
      <c r="P647" s="1470"/>
      <c r="Q647" s="1470"/>
      <c r="R647" s="1470"/>
      <c r="S647" s="10"/>
      <c r="T647" s="22"/>
      <c r="U647" t="s">
        <v>315</v>
      </c>
      <c r="Z647" s="1486">
        <v>8182470420</v>
      </c>
      <c r="AA647" s="1486"/>
      <c r="AB647" s="1486"/>
      <c r="AC647" s="1486"/>
      <c r="AD647" s="1486"/>
      <c r="AE647" s="1486"/>
      <c r="AH647" s="33" t="s">
        <v>205</v>
      </c>
      <c r="AI647" s="1470"/>
      <c r="AJ647" s="1470"/>
      <c r="AK647" s="1470"/>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t="e">
        <f t="shared" si="4"/>
        <v>#VALUE!</v>
      </c>
      <c r="EI647" s="1368"/>
      <c r="EJ647" s="1368"/>
      <c r="EK647" s="1368"/>
      <c r="EL647" s="1368"/>
      <c r="EM647" s="1368" t="e">
        <f t="shared" si="5"/>
        <v>#VALUE!</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3.05" customHeight="1">
      <c r="A648" s="22"/>
      <c r="B648" t="s">
        <v>18</v>
      </c>
      <c r="H648" s="1406" t="s">
        <v>2722</v>
      </c>
      <c r="I648" s="1406"/>
      <c r="J648" s="1406"/>
      <c r="K648" s="1406"/>
      <c r="L648" s="1406"/>
      <c r="M648" s="1406"/>
      <c r="N648" s="1406"/>
      <c r="O648" s="1406"/>
      <c r="P648" s="1406"/>
      <c r="Q648" s="1406"/>
      <c r="R648" s="1406"/>
      <c r="S648" s="8"/>
      <c r="T648" s="22"/>
      <c r="U648" t="s">
        <v>18</v>
      </c>
      <c r="AA648" s="1406" t="s">
        <v>2713</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t="e">
        <f t="shared" si="4"/>
        <v>#VALUE!</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3.05" customHeight="1">
      <c r="A649" s="22"/>
      <c r="B649" t="s">
        <v>20</v>
      </c>
      <c r="N649" s="1414" t="s">
        <v>545</v>
      </c>
      <c r="O649" s="1414"/>
      <c r="T649" s="22"/>
      <c r="U649" t="s">
        <v>20</v>
      </c>
      <c r="AG649" s="1414" t="s">
        <v>545</v>
      </c>
      <c r="AH649" s="1414"/>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3.05"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3.05" customHeight="1">
      <c r="A651" s="55" t="s">
        <v>119</v>
      </c>
      <c r="B651" t="s">
        <v>463</v>
      </c>
      <c r="G651" s="1482" t="str">
        <f>C629</f>
        <v>Seller Note Accrued Interest</v>
      </c>
      <c r="H651" s="1482"/>
      <c r="I651" s="1482"/>
      <c r="J651" s="1482"/>
      <c r="K651" s="1482"/>
      <c r="L651" s="1482"/>
      <c r="M651" s="1482"/>
      <c r="N651" s="1482"/>
      <c r="O651" s="1482"/>
      <c r="P651" s="1482"/>
      <c r="Q651" s="1482"/>
      <c r="R651" s="1482"/>
      <c r="T651" s="55" t="s">
        <v>581</v>
      </c>
      <c r="U651" t="s">
        <v>463</v>
      </c>
      <c r="Z651" s="1482" t="str">
        <f>C630</f>
        <v>Seller Note #2</v>
      </c>
      <c r="AA651" s="1482"/>
      <c r="AB651" s="1482"/>
      <c r="AC651" s="1482"/>
      <c r="AD651" s="1482"/>
      <c r="AE651" s="1482"/>
      <c r="AF651" s="1482"/>
      <c r="AG651" s="1482"/>
      <c r="AH651" s="1482"/>
      <c r="AI651" s="1482"/>
      <c r="AJ651" s="1482"/>
      <c r="AK651" s="1482"/>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3.05" customHeight="1">
      <c r="A652" s="22"/>
      <c r="B652" t="s">
        <v>85</v>
      </c>
      <c r="G652" s="1406" t="s">
        <v>2620</v>
      </c>
      <c r="H652" s="1406"/>
      <c r="I652" s="1406"/>
      <c r="J652" s="1406"/>
      <c r="K652" s="1406"/>
      <c r="L652" s="1406"/>
      <c r="M652" s="1406"/>
      <c r="N652" s="1406"/>
      <c r="O652" s="1406"/>
      <c r="P652" s="1406"/>
      <c r="Q652" s="1406"/>
      <c r="R652" s="1406"/>
      <c r="T652" s="22"/>
      <c r="U652" t="s">
        <v>85</v>
      </c>
      <c r="Z652" s="1406" t="s">
        <v>2620</v>
      </c>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3.05" customHeight="1">
      <c r="A653" s="22"/>
      <c r="B653" t="s">
        <v>580</v>
      </c>
      <c r="G653" s="1370" t="s">
        <v>2711</v>
      </c>
      <c r="H653" s="1370"/>
      <c r="I653" s="1370"/>
      <c r="J653" s="1370"/>
      <c r="K653" s="1370"/>
      <c r="L653" s="1370"/>
      <c r="M653" s="1370"/>
      <c r="N653" s="1370"/>
      <c r="O653" s="1370"/>
      <c r="P653" s="1370"/>
      <c r="Q653" s="1370"/>
      <c r="R653" s="1370"/>
      <c r="T653" s="22"/>
      <c r="U653" t="s">
        <v>580</v>
      </c>
      <c r="Z653" s="1370" t="s">
        <v>2711</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3.05" customHeight="1">
      <c r="A654" s="22"/>
      <c r="B654" t="s">
        <v>17</v>
      </c>
      <c r="G654" s="1370" t="s">
        <v>2712</v>
      </c>
      <c r="H654" s="1370"/>
      <c r="I654" s="1370"/>
      <c r="J654" s="1370"/>
      <c r="K654" s="1370"/>
      <c r="L654" s="1370"/>
      <c r="M654" s="1370"/>
      <c r="N654" s="1370"/>
      <c r="O654" s="1370"/>
      <c r="P654" s="1370"/>
      <c r="Q654" s="1370"/>
      <c r="R654" s="1370"/>
      <c r="T654" s="22"/>
      <c r="U654" t="s">
        <v>17</v>
      </c>
      <c r="Z654" s="1370" t="s">
        <v>2712</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3.05" customHeight="1">
      <c r="A655" s="22"/>
      <c r="B655" t="s">
        <v>315</v>
      </c>
      <c r="G655" s="1486">
        <v>8182470420</v>
      </c>
      <c r="H655" s="1486"/>
      <c r="I655" s="1486"/>
      <c r="J655" s="1486"/>
      <c r="K655" s="1486"/>
      <c r="L655" s="1486"/>
      <c r="O655" s="33" t="s">
        <v>205</v>
      </c>
      <c r="P655" s="1470"/>
      <c r="Q655" s="1470"/>
      <c r="R655" s="1470"/>
      <c r="T655" s="22"/>
      <c r="U655" t="s">
        <v>315</v>
      </c>
      <c r="Z655" s="1486">
        <v>8182470420</v>
      </c>
      <c r="AA655" s="1486"/>
      <c r="AB655" s="1486"/>
      <c r="AC655" s="1486"/>
      <c r="AD655" s="1486"/>
      <c r="AE655" s="1486"/>
      <c r="AH655" s="33" t="s">
        <v>205</v>
      </c>
      <c r="AI655" s="1470"/>
      <c r="AJ655" s="1470"/>
      <c r="AK655" s="1470"/>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3.05" customHeight="1">
      <c r="A656" s="22"/>
      <c r="B656" t="s">
        <v>18</v>
      </c>
      <c r="H656" s="1406" t="s">
        <v>2713</v>
      </c>
      <c r="I656" s="1406"/>
      <c r="J656" s="1406"/>
      <c r="K656" s="1406"/>
      <c r="L656" s="1406"/>
      <c r="M656" s="1406"/>
      <c r="N656" s="1406"/>
      <c r="O656" s="1406"/>
      <c r="P656" s="1406"/>
      <c r="Q656" s="1406"/>
      <c r="R656" s="1406"/>
      <c r="T656" s="22"/>
      <c r="U656" t="s">
        <v>18</v>
      </c>
      <c r="AA656" s="1406" t="s">
        <v>2723</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3.05" customHeight="1">
      <c r="A657" s="22"/>
      <c r="B657" t="s">
        <v>20</v>
      </c>
      <c r="N657" s="1414" t="s">
        <v>545</v>
      </c>
      <c r="O657" s="1414"/>
      <c r="T657" s="22"/>
      <c r="U657" t="s">
        <v>20</v>
      </c>
      <c r="AG657" s="1414" t="s">
        <v>545</v>
      </c>
      <c r="AH657" s="1414"/>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3.05"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3.05" customHeight="1">
      <c r="A659" s="55" t="s">
        <v>763</v>
      </c>
      <c r="B659" t="s">
        <v>463</v>
      </c>
      <c r="G659" s="1482" t="str">
        <f>C631</f>
        <v>Assumption of City of LA Loan</v>
      </c>
      <c r="H659" s="1482"/>
      <c r="I659" s="1482"/>
      <c r="J659" s="1482"/>
      <c r="K659" s="1482"/>
      <c r="L659" s="1482"/>
      <c r="M659" s="1482"/>
      <c r="N659" s="1482"/>
      <c r="O659" s="1482"/>
      <c r="P659" s="1482"/>
      <c r="Q659" s="1482"/>
      <c r="R659" s="1482"/>
      <c r="T659" s="55" t="s">
        <v>584</v>
      </c>
      <c r="U659" t="s">
        <v>463</v>
      </c>
      <c r="Z659" s="1482" t="str">
        <f>C632</f>
        <v>Assumed City of LA Loan Accrued Interest</v>
      </c>
      <c r="AA659" s="1482"/>
      <c r="AB659" s="1482"/>
      <c r="AC659" s="1482"/>
      <c r="AD659" s="1482"/>
      <c r="AE659" s="1482"/>
      <c r="AF659" s="1482"/>
      <c r="AG659" s="1482"/>
      <c r="AH659" s="1482"/>
      <c r="AI659" s="1482"/>
      <c r="AJ659" s="1482"/>
      <c r="AK659" s="1482"/>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3.05" customHeight="1">
      <c r="A660" s="22"/>
      <c r="B660" t="s">
        <v>85</v>
      </c>
      <c r="G660" s="1406" t="s">
        <v>2714</v>
      </c>
      <c r="H660" s="1406"/>
      <c r="I660" s="1406"/>
      <c r="J660" s="1406"/>
      <c r="K660" s="1406"/>
      <c r="L660" s="1406"/>
      <c r="M660" s="1406"/>
      <c r="N660" s="1406"/>
      <c r="O660" s="1406"/>
      <c r="P660" s="1406"/>
      <c r="Q660" s="1406"/>
      <c r="R660" s="1406"/>
      <c r="T660" s="22"/>
      <c r="U660" t="s">
        <v>85</v>
      </c>
      <c r="Z660" s="1406" t="s">
        <v>2714</v>
      </c>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3.05" customHeight="1">
      <c r="A661" s="22"/>
      <c r="B661" t="s">
        <v>580</v>
      </c>
      <c r="G661" s="1406" t="s">
        <v>2676</v>
      </c>
      <c r="H661" s="1406"/>
      <c r="I661" s="1406"/>
      <c r="J661" s="1406"/>
      <c r="K661" s="1406"/>
      <c r="L661" s="1406"/>
      <c r="M661" s="1406"/>
      <c r="N661" s="1406"/>
      <c r="O661" s="1406"/>
      <c r="P661" s="1406"/>
      <c r="Q661" s="1406"/>
      <c r="R661" s="1406"/>
      <c r="T661" s="22"/>
      <c r="U661" t="s">
        <v>580</v>
      </c>
      <c r="Z661" s="1370" t="s">
        <v>2676</v>
      </c>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3.05" customHeight="1">
      <c r="A662" s="22"/>
      <c r="B662" t="s">
        <v>17</v>
      </c>
      <c r="G662" s="1406" t="s">
        <v>2677</v>
      </c>
      <c r="H662" s="1406"/>
      <c r="I662" s="1406"/>
      <c r="J662" s="1406"/>
      <c r="K662" s="1406"/>
      <c r="L662" s="1406"/>
      <c r="M662" s="1406"/>
      <c r="N662" s="1406"/>
      <c r="O662" s="1406"/>
      <c r="P662" s="1406"/>
      <c r="Q662" s="1406"/>
      <c r="R662" s="1406"/>
      <c r="T662" s="22"/>
      <c r="U662" t="s">
        <v>17</v>
      </c>
      <c r="Z662" s="1370" t="s">
        <v>2677</v>
      </c>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3.05" customHeight="1">
      <c r="A663" s="22"/>
      <c r="B663" t="s">
        <v>315</v>
      </c>
      <c r="G663" s="1486">
        <v>2138088808</v>
      </c>
      <c r="H663" s="1486"/>
      <c r="I663" s="1486"/>
      <c r="J663" s="1486"/>
      <c r="K663" s="1486"/>
      <c r="L663" s="1486"/>
      <c r="O663" s="33" t="s">
        <v>205</v>
      </c>
      <c r="P663" s="1470"/>
      <c r="Q663" s="1470"/>
      <c r="R663" s="1470"/>
      <c r="T663" s="22"/>
      <c r="U663" t="s">
        <v>315</v>
      </c>
      <c r="Z663" s="1486">
        <v>2138088808</v>
      </c>
      <c r="AA663" s="1486"/>
      <c r="AB663" s="1486"/>
      <c r="AC663" s="1486"/>
      <c r="AD663" s="1486"/>
      <c r="AE663" s="1486"/>
      <c r="AH663" s="33" t="s">
        <v>205</v>
      </c>
      <c r="AI663" s="1470"/>
      <c r="AJ663" s="1470"/>
      <c r="AK663" s="147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3.05" customHeight="1">
      <c r="A664" s="22"/>
      <c r="B664" t="s">
        <v>18</v>
      </c>
      <c r="H664" s="1406" t="s">
        <v>2715</v>
      </c>
      <c r="I664" s="1406"/>
      <c r="J664" s="1406"/>
      <c r="K664" s="1406"/>
      <c r="L664" s="1406"/>
      <c r="M664" s="1406"/>
      <c r="N664" s="1406"/>
      <c r="O664" s="1406"/>
      <c r="P664" s="1406"/>
      <c r="Q664" s="1406"/>
      <c r="R664" s="1406"/>
      <c r="T664" s="22"/>
      <c r="U664" t="s">
        <v>18</v>
      </c>
      <c r="AA664" s="1406" t="s">
        <v>2715</v>
      </c>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3.05" customHeight="1">
      <c r="A665" s="22"/>
      <c r="B665" t="s">
        <v>20</v>
      </c>
      <c r="N665" s="1414" t="s">
        <v>545</v>
      </c>
      <c r="O665" s="1414"/>
      <c r="T665" s="22"/>
      <c r="U665" t="s">
        <v>20</v>
      </c>
      <c r="AG665" s="1414" t="s">
        <v>545</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3.05" customHeight="1">
      <c r="A667" s="55" t="s">
        <v>455</v>
      </c>
      <c r="B667" t="s">
        <v>463</v>
      </c>
      <c r="G667" s="1482" t="str">
        <f>C633</f>
        <v>NOI</v>
      </c>
      <c r="H667" s="1482"/>
      <c r="I667" s="1482"/>
      <c r="J667" s="1482"/>
      <c r="K667" s="1482"/>
      <c r="L667" s="1482"/>
      <c r="M667" s="1482"/>
      <c r="N667" s="1482"/>
      <c r="O667" s="1482"/>
      <c r="P667" s="1482"/>
      <c r="Q667" s="1482"/>
      <c r="R667" s="1482"/>
      <c r="T667" s="55" t="s">
        <v>456</v>
      </c>
      <c r="U667" t="s">
        <v>463</v>
      </c>
      <c r="Z667" s="1482" t="str">
        <f>C634</f>
        <v>Deferred Developer Fee</v>
      </c>
      <c r="AA667" s="1482"/>
      <c r="AB667" s="1482"/>
      <c r="AC667" s="1482"/>
      <c r="AD667" s="1482"/>
      <c r="AE667" s="1482"/>
      <c r="AF667" s="1482"/>
      <c r="AG667" s="1482"/>
      <c r="AH667" s="1482"/>
      <c r="AI667" s="1482"/>
      <c r="AJ667" s="1482"/>
      <c r="AK667" s="148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3.05" customHeight="1">
      <c r="A668" s="22"/>
      <c r="B668" t="s">
        <v>85</v>
      </c>
      <c r="G668" s="1406" t="s">
        <v>2620</v>
      </c>
      <c r="H668" s="1406"/>
      <c r="I668" s="1406"/>
      <c r="J668" s="1406"/>
      <c r="K668" s="1406"/>
      <c r="L668" s="1406"/>
      <c r="M668" s="1406"/>
      <c r="N668" s="1406"/>
      <c r="O668" s="1406"/>
      <c r="P668" s="1406"/>
      <c r="Q668" s="1406"/>
      <c r="R668" s="1406"/>
      <c r="T668" s="22"/>
      <c r="U668" t="s">
        <v>85</v>
      </c>
      <c r="Z668" s="1406" t="s">
        <v>2620</v>
      </c>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3.05" customHeight="1">
      <c r="A669" s="22"/>
      <c r="B669" t="s">
        <v>580</v>
      </c>
      <c r="G669" s="1406" t="s">
        <v>2711</v>
      </c>
      <c r="H669" s="1406"/>
      <c r="I669" s="1406"/>
      <c r="J669" s="1406"/>
      <c r="K669" s="1406"/>
      <c r="L669" s="1406"/>
      <c r="M669" s="1406"/>
      <c r="N669" s="1406"/>
      <c r="O669" s="1406"/>
      <c r="P669" s="1406"/>
      <c r="Q669" s="1406"/>
      <c r="R669" s="1406"/>
      <c r="T669" s="22"/>
      <c r="U669" t="s">
        <v>580</v>
      </c>
      <c r="Z669" s="1370" t="s">
        <v>2711</v>
      </c>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3.05" customHeight="1">
      <c r="A670" s="22"/>
      <c r="B670" t="s">
        <v>17</v>
      </c>
      <c r="G670" s="1406" t="s">
        <v>2712</v>
      </c>
      <c r="H670" s="1406"/>
      <c r="I670" s="1406"/>
      <c r="J670" s="1406"/>
      <c r="K670" s="1406"/>
      <c r="L670" s="1406"/>
      <c r="M670" s="1406"/>
      <c r="N670" s="1406"/>
      <c r="O670" s="1406"/>
      <c r="P670" s="1406"/>
      <c r="Q670" s="1406"/>
      <c r="R670" s="1406"/>
      <c r="T670" s="22"/>
      <c r="U670" t="s">
        <v>17</v>
      </c>
      <c r="Z670" s="1370" t="s">
        <v>2712</v>
      </c>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0</v>
      </c>
      <c r="DY670" s="1368"/>
      <c r="DZ670" s="1368"/>
      <c r="EA670" s="1368"/>
      <c r="EB670" s="1368"/>
      <c r="EC670" s="1368">
        <f>SUMIF(EC635:EG669,"&gt;0")</f>
        <v>1254.3650793650795</v>
      </c>
      <c r="ED670" s="1368"/>
      <c r="EE670" s="1368"/>
      <c r="EF670" s="1368"/>
      <c r="EG670" s="1368"/>
      <c r="EH670" s="1368">
        <f>SUMIF(EH635:EL669,"&gt;0")</f>
        <v>0</v>
      </c>
      <c r="EI670" s="1368"/>
      <c r="EJ670" s="1368"/>
      <c r="EK670" s="1368"/>
      <c r="EL670" s="1368"/>
      <c r="EM670" s="1368">
        <f>SUMIF(EM635:EQ669,"&gt;0")</f>
        <v>0</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3.05" customHeight="1">
      <c r="A671" s="22"/>
      <c r="B671" t="s">
        <v>315</v>
      </c>
      <c r="G671" s="1486">
        <v>8182470420</v>
      </c>
      <c r="H671" s="1486"/>
      <c r="I671" s="1486"/>
      <c r="J671" s="1486"/>
      <c r="K671" s="1486"/>
      <c r="L671" s="1486"/>
      <c r="O671" s="33" t="s">
        <v>205</v>
      </c>
      <c r="P671" s="1470"/>
      <c r="Q671" s="1470"/>
      <c r="R671" s="1470"/>
      <c r="T671" s="22"/>
      <c r="U671" t="s">
        <v>315</v>
      </c>
      <c r="Z671" s="1486">
        <v>8182470420</v>
      </c>
      <c r="AA671" s="1486"/>
      <c r="AB671" s="1486"/>
      <c r="AC671" s="1486"/>
      <c r="AD671" s="1486"/>
      <c r="AE671" s="1486"/>
      <c r="AH671" s="33" t="s">
        <v>205</v>
      </c>
      <c r="AI671" s="1470"/>
      <c r="AJ671" s="1470"/>
      <c r="AK671" s="147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06" t="s">
        <v>2724</v>
      </c>
      <c r="I672" s="1406"/>
      <c r="J672" s="1406"/>
      <c r="K672" s="1406"/>
      <c r="L672" s="1406"/>
      <c r="M672" s="1406"/>
      <c r="N672" s="1406"/>
      <c r="O672" s="1406"/>
      <c r="P672" s="1406"/>
      <c r="Q672" s="1406"/>
      <c r="R672" s="1406"/>
      <c r="T672" s="22"/>
      <c r="U672" t="s">
        <v>18</v>
      </c>
      <c r="AA672" s="1406" t="s">
        <v>2716</v>
      </c>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414" t="s">
        <v>545</v>
      </c>
      <c r="O673" s="1414"/>
      <c r="T673" s="22"/>
      <c r="U673" t="s">
        <v>20</v>
      </c>
      <c r="AG673" s="1414" t="s">
        <v>545</v>
      </c>
      <c r="AH673" s="1414"/>
      <c r="AZ673" s="3"/>
    </row>
    <row r="674" spans="1:52" ht="13.05" customHeight="1">
      <c r="A674" s="22"/>
      <c r="T674" s="22"/>
      <c r="AZ674" s="3"/>
    </row>
    <row r="675" spans="1:52" ht="13.05" customHeight="1">
      <c r="A675" s="55" t="s">
        <v>461</v>
      </c>
      <c r="B675" t="s">
        <v>463</v>
      </c>
      <c r="G675" s="1482" t="str">
        <f>C635</f>
        <v>Existing Reserves</v>
      </c>
      <c r="H675" s="1482"/>
      <c r="I675" s="1482"/>
      <c r="J675" s="1482"/>
      <c r="K675" s="1482"/>
      <c r="L675" s="1482"/>
      <c r="M675" s="1482"/>
      <c r="N675" s="1482"/>
      <c r="O675" s="1482"/>
      <c r="P675" s="1482"/>
      <c r="Q675" s="1482"/>
      <c r="R675" s="1482"/>
      <c r="T675" s="55" t="s">
        <v>646</v>
      </c>
      <c r="U675" t="s">
        <v>463</v>
      </c>
      <c r="Z675" s="1482" t="str">
        <f>C636</f>
        <v>CMF Funds</v>
      </c>
      <c r="AA675" s="1482"/>
      <c r="AB675" s="1482"/>
      <c r="AC675" s="1482"/>
      <c r="AD675" s="1482"/>
      <c r="AE675" s="1482"/>
      <c r="AF675" s="1482"/>
      <c r="AG675" s="1482"/>
      <c r="AH675" s="1482"/>
      <c r="AI675" s="1482"/>
      <c r="AJ675" s="1482"/>
      <c r="AK675" s="1482"/>
      <c r="AZ675" s="3"/>
    </row>
    <row r="676" spans="1:52" ht="13.05" customHeight="1">
      <c r="A676" s="22"/>
      <c r="B676" t="s">
        <v>85</v>
      </c>
      <c r="G676" s="1406" t="s">
        <v>2620</v>
      </c>
      <c r="H676" s="1406"/>
      <c r="I676" s="1406"/>
      <c r="J676" s="1406"/>
      <c r="K676" s="1406"/>
      <c r="L676" s="1406"/>
      <c r="M676" s="1406"/>
      <c r="N676" s="1406"/>
      <c r="O676" s="1406"/>
      <c r="P676" s="1406"/>
      <c r="Q676" s="1406"/>
      <c r="R676" s="1406"/>
      <c r="T676" s="22"/>
      <c r="U676" t="s">
        <v>85</v>
      </c>
      <c r="Z676" s="1406" t="s">
        <v>2620</v>
      </c>
      <c r="AA676" s="1406"/>
      <c r="AB676" s="1406"/>
      <c r="AC676" s="1406"/>
      <c r="AD676" s="1406"/>
      <c r="AE676" s="1406"/>
      <c r="AF676" s="1406"/>
      <c r="AG676" s="1406"/>
      <c r="AH676" s="1406"/>
      <c r="AI676" s="1406"/>
      <c r="AJ676" s="1406"/>
      <c r="AK676" s="1406"/>
      <c r="AZ676" s="3"/>
    </row>
    <row r="677" spans="1:52" ht="13.05" customHeight="1">
      <c r="A677" s="22"/>
      <c r="B677" t="s">
        <v>580</v>
      </c>
      <c r="G677" s="1406" t="s">
        <v>2711</v>
      </c>
      <c r="H677" s="1406"/>
      <c r="I677" s="1406"/>
      <c r="J677" s="1406"/>
      <c r="K677" s="1406"/>
      <c r="L677" s="1406"/>
      <c r="M677" s="1406"/>
      <c r="N677" s="1406"/>
      <c r="O677" s="1406"/>
      <c r="P677" s="1406"/>
      <c r="Q677" s="1406"/>
      <c r="R677" s="1406"/>
      <c r="T677" s="22"/>
      <c r="U677" t="s">
        <v>580</v>
      </c>
      <c r="Z677" s="1370" t="s">
        <v>2711</v>
      </c>
      <c r="AA677" s="1370"/>
      <c r="AB677" s="1370"/>
      <c r="AC677" s="1370"/>
      <c r="AD677" s="1370"/>
      <c r="AE677" s="1370"/>
      <c r="AF677" s="1370"/>
      <c r="AG677" s="1370"/>
      <c r="AH677" s="1370"/>
      <c r="AI677" s="1370"/>
      <c r="AJ677" s="1370"/>
      <c r="AK677" s="1370"/>
      <c r="AZ677" s="3"/>
    </row>
    <row r="678" spans="1:52" ht="13.05" customHeight="1">
      <c r="A678" s="22"/>
      <c r="B678" t="s">
        <v>17</v>
      </c>
      <c r="G678" s="1406" t="s">
        <v>2712</v>
      </c>
      <c r="H678" s="1406"/>
      <c r="I678" s="1406"/>
      <c r="J678" s="1406"/>
      <c r="K678" s="1406"/>
      <c r="L678" s="1406"/>
      <c r="M678" s="1406"/>
      <c r="N678" s="1406"/>
      <c r="O678" s="1406"/>
      <c r="P678" s="1406"/>
      <c r="Q678" s="1406"/>
      <c r="R678" s="1406"/>
      <c r="T678" s="22"/>
      <c r="U678" t="s">
        <v>17</v>
      </c>
      <c r="Z678" s="1370" t="s">
        <v>2712</v>
      </c>
      <c r="AA678" s="1370"/>
      <c r="AB678" s="1370"/>
      <c r="AC678" s="1370"/>
      <c r="AD678" s="1370"/>
      <c r="AE678" s="1370"/>
      <c r="AF678" s="1370"/>
      <c r="AG678" s="1370"/>
      <c r="AH678" s="1370"/>
      <c r="AI678" s="1370"/>
      <c r="AJ678" s="1370"/>
      <c r="AK678" s="1370"/>
      <c r="AZ678" s="3"/>
    </row>
    <row r="679" spans="1:52" ht="13.05" customHeight="1">
      <c r="A679" s="22"/>
      <c r="B679" t="s">
        <v>315</v>
      </c>
      <c r="G679" s="1486">
        <v>8182470420</v>
      </c>
      <c r="H679" s="1486"/>
      <c r="I679" s="1486"/>
      <c r="J679" s="1486"/>
      <c r="K679" s="1486"/>
      <c r="L679" s="1486"/>
      <c r="O679" s="33" t="s">
        <v>205</v>
      </c>
      <c r="P679" s="1470"/>
      <c r="Q679" s="1470"/>
      <c r="R679" s="1470"/>
      <c r="T679" s="22"/>
      <c r="U679" t="s">
        <v>315</v>
      </c>
      <c r="Z679" s="1486">
        <v>8182470420</v>
      </c>
      <c r="AA679" s="1486"/>
      <c r="AB679" s="1486"/>
      <c r="AC679" s="1486"/>
      <c r="AD679" s="1486"/>
      <c r="AE679" s="1486"/>
      <c r="AH679" s="33" t="s">
        <v>205</v>
      </c>
      <c r="AI679" s="1470"/>
      <c r="AJ679" s="1470"/>
      <c r="AK679" s="1470"/>
      <c r="AZ679" s="3"/>
    </row>
    <row r="680" spans="1:52" ht="13.05" customHeight="1">
      <c r="A680" s="22"/>
      <c r="B680" t="s">
        <v>18</v>
      </c>
      <c r="H680" s="1406" t="s">
        <v>2701</v>
      </c>
      <c r="I680" s="1406"/>
      <c r="J680" s="1406"/>
      <c r="K680" s="1406"/>
      <c r="L680" s="1406"/>
      <c r="M680" s="1406"/>
      <c r="N680" s="1406"/>
      <c r="O680" s="1406"/>
      <c r="P680" s="1406"/>
      <c r="Q680" s="1406"/>
      <c r="R680" s="1406"/>
      <c r="T680" s="22"/>
      <c r="U680" t="s">
        <v>18</v>
      </c>
      <c r="AA680" s="1406" t="s">
        <v>2720</v>
      </c>
      <c r="AB680" s="1406"/>
      <c r="AC680" s="1406"/>
      <c r="AD680" s="1406"/>
      <c r="AE680" s="1406"/>
      <c r="AF680" s="1406"/>
      <c r="AG680" s="1406"/>
      <c r="AH680" s="1406"/>
      <c r="AI680" s="1406"/>
      <c r="AJ680" s="1406"/>
      <c r="AK680" s="1406"/>
      <c r="AZ680" s="3"/>
    </row>
    <row r="681" spans="1:52" ht="13.05" customHeight="1">
      <c r="A681" s="22"/>
      <c r="B681" t="s">
        <v>20</v>
      </c>
      <c r="N681" s="1414" t="s">
        <v>545</v>
      </c>
      <c r="O681" s="1414"/>
      <c r="T681" s="22"/>
      <c r="U681" t="s">
        <v>20</v>
      </c>
      <c r="AG681" s="1414" t="s">
        <v>545</v>
      </c>
      <c r="AH681" s="1414"/>
      <c r="AZ681" s="3"/>
    </row>
    <row r="682" spans="1:52" ht="13.05" customHeight="1">
      <c r="A682" s="22"/>
      <c r="T682" s="22"/>
      <c r="AZ682" s="3"/>
    </row>
    <row r="683" spans="1:52" ht="13.05" customHeight="1">
      <c r="A683" s="55" t="s">
        <v>361</v>
      </c>
      <c r="B683" t="s">
        <v>463</v>
      </c>
      <c r="G683" s="1482">
        <f>C637</f>
        <v>0</v>
      </c>
      <c r="H683" s="1482"/>
      <c r="I683" s="1482"/>
      <c r="J683" s="1482"/>
      <c r="K683" s="1482"/>
      <c r="L683" s="1482"/>
      <c r="M683" s="1482"/>
      <c r="N683" s="1482"/>
      <c r="O683" s="1482"/>
      <c r="P683" s="1482"/>
      <c r="Q683" s="1482"/>
      <c r="R683" s="1482"/>
      <c r="T683" s="55" t="s">
        <v>362</v>
      </c>
      <c r="U683" t="s">
        <v>463</v>
      </c>
      <c r="Z683" s="1482">
        <f>C638</f>
        <v>0</v>
      </c>
      <c r="AA683" s="1482"/>
      <c r="AB683" s="1482"/>
      <c r="AC683" s="1482"/>
      <c r="AD683" s="1482"/>
      <c r="AE683" s="1482"/>
      <c r="AF683" s="1482"/>
      <c r="AG683" s="1482"/>
      <c r="AH683" s="1482"/>
      <c r="AI683" s="1482"/>
      <c r="AJ683" s="1482"/>
      <c r="AK683" s="1482"/>
      <c r="AZ683" s="3"/>
    </row>
    <row r="684" spans="1:52" ht="13.05"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3.05" customHeight="1">
      <c r="B685" t="s">
        <v>580</v>
      </c>
      <c r="G685" s="1406"/>
      <c r="H685" s="1406"/>
      <c r="I685" s="1406"/>
      <c r="J685" s="1406"/>
      <c r="K685" s="1406"/>
      <c r="L685" s="1406"/>
      <c r="M685" s="1406"/>
      <c r="N685" s="1406"/>
      <c r="O685" s="1406"/>
      <c r="P685" s="1406"/>
      <c r="Q685" s="1406"/>
      <c r="R685" s="1406"/>
      <c r="U685" t="s">
        <v>580</v>
      </c>
      <c r="Z685" s="1370"/>
      <c r="AA685" s="1370"/>
      <c r="AB685" s="1370"/>
      <c r="AC685" s="1370"/>
      <c r="AD685" s="1370"/>
      <c r="AE685" s="1370"/>
      <c r="AF685" s="1370"/>
      <c r="AG685" s="1370"/>
      <c r="AH685" s="1370"/>
      <c r="AI685" s="1370"/>
      <c r="AJ685" s="1370"/>
      <c r="AK685" s="1370"/>
      <c r="AZ685" s="3"/>
    </row>
    <row r="686" spans="1:52" ht="13.05"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3.05" customHeight="1">
      <c r="B687" t="s">
        <v>315</v>
      </c>
      <c r="G687" s="1486"/>
      <c r="H687" s="1486"/>
      <c r="I687" s="1486"/>
      <c r="J687" s="1486"/>
      <c r="K687" s="1486"/>
      <c r="L687" s="1486"/>
      <c r="O687" s="33" t="s">
        <v>205</v>
      </c>
      <c r="P687" s="1470"/>
      <c r="Q687" s="1470"/>
      <c r="R687" s="1470"/>
      <c r="U687" t="s">
        <v>315</v>
      </c>
      <c r="Z687" s="1486"/>
      <c r="AA687" s="1486"/>
      <c r="AB687" s="1486"/>
      <c r="AC687" s="1486"/>
      <c r="AD687" s="1486"/>
      <c r="AE687" s="1486"/>
      <c r="AH687" s="33" t="s">
        <v>205</v>
      </c>
      <c r="AI687" s="1470"/>
      <c r="AJ687" s="1470"/>
      <c r="AK687" s="1470"/>
      <c r="AZ687" s="3"/>
    </row>
    <row r="688" spans="1:52" ht="13.05"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3.05" customHeight="1">
      <c r="B689" t="s">
        <v>20</v>
      </c>
      <c r="N689" s="1414" t="s">
        <v>669</v>
      </c>
      <c r="O689" s="1414"/>
      <c r="U689" t="s">
        <v>20</v>
      </c>
      <c r="AG689" s="1414" t="s">
        <v>669</v>
      </c>
      <c r="AH689" s="1414"/>
      <c r="AZ689" s="3"/>
    </row>
    <row r="690" spans="1:67" ht="13.05" customHeight="1">
      <c r="AZ690" s="3"/>
    </row>
    <row r="691" spans="1:67" ht="13.05" customHeight="1">
      <c r="A691" s="2" t="s">
        <v>576</v>
      </c>
      <c r="C691" s="2" t="s">
        <v>326</v>
      </c>
      <c r="E691" s="130"/>
      <c r="F691" s="130"/>
      <c r="G691" s="130"/>
      <c r="H691" s="130"/>
      <c r="AZ691" s="3"/>
    </row>
    <row r="692" spans="1:67" ht="13.05" customHeight="1">
      <c r="B692" s="135"/>
      <c r="C692" s="135"/>
      <c r="D692" s="136" t="s">
        <v>433</v>
      </c>
      <c r="E692" s="135"/>
      <c r="F692" s="135"/>
      <c r="G692" s="135"/>
      <c r="H692" s="135"/>
      <c r="AZ692" s="3"/>
    </row>
    <row r="693" spans="1:67" ht="13.05" customHeight="1">
      <c r="B693" s="135"/>
      <c r="C693" s="135"/>
      <c r="E693" s="136" t="s">
        <v>434</v>
      </c>
      <c r="F693" s="135"/>
      <c r="G693" s="135"/>
      <c r="H693" s="135"/>
      <c r="AE693" s="1414" t="s">
        <v>545</v>
      </c>
      <c r="AF693" s="1414"/>
      <c r="AZ693" s="3"/>
    </row>
    <row r="694" spans="1:67" ht="13.05" customHeight="1">
      <c r="B694" s="135"/>
      <c r="C694" s="135"/>
      <c r="D694" s="136" t="s">
        <v>437</v>
      </c>
      <c r="E694" s="135"/>
      <c r="F694" s="135"/>
      <c r="G694" s="135"/>
      <c r="H694" s="135"/>
      <c r="AE694" s="1414" t="s">
        <v>545</v>
      </c>
      <c r="AF694" s="1414"/>
      <c r="AZ694" s="3"/>
    </row>
    <row r="695" spans="1:67" ht="13.05" customHeight="1">
      <c r="B695" s="135"/>
      <c r="C695" s="135"/>
      <c r="D695" s="136" t="s">
        <v>920</v>
      </c>
      <c r="E695" s="135"/>
      <c r="F695" s="135"/>
      <c r="G695" s="135"/>
      <c r="H695" s="135"/>
      <c r="AE695" s="1496">
        <v>45685</v>
      </c>
      <c r="AF695" s="1496"/>
      <c r="AG695" s="1496"/>
      <c r="AH695" s="1496"/>
      <c r="AI695" s="1496"/>
    </row>
    <row r="696" spans="1:67" ht="13.05" customHeight="1">
      <c r="B696" s="135"/>
      <c r="C696" s="135"/>
      <c r="D696" s="318" t="s">
        <v>983</v>
      </c>
      <c r="E696" s="135"/>
      <c r="F696" s="135"/>
      <c r="G696" s="135"/>
      <c r="H696" s="135"/>
      <c r="AE696" s="1660">
        <v>45755</v>
      </c>
      <c r="AF696" s="1660"/>
      <c r="AG696" s="1660"/>
      <c r="AH696" s="1660"/>
      <c r="AI696" s="1660"/>
    </row>
    <row r="697" spans="1:67" ht="13.05" customHeight="1">
      <c r="B697" s="135"/>
      <c r="C697" s="135"/>
    </row>
    <row r="698" spans="1:67" ht="13.05" customHeight="1">
      <c r="B698" s="135"/>
      <c r="C698" s="135"/>
      <c r="D698" s="136" t="s">
        <v>816</v>
      </c>
      <c r="E698" s="135"/>
      <c r="F698" s="135"/>
      <c r="G698" s="135"/>
      <c r="H698" s="135"/>
      <c r="AE698" s="1496">
        <v>45931</v>
      </c>
      <c r="AF698" s="1496"/>
      <c r="AG698" s="1496"/>
      <c r="AH698" s="1496"/>
      <c r="AI698" s="1496"/>
    </row>
    <row r="699" spans="1:67" ht="13.05" customHeight="1">
      <c r="B699" s="135"/>
      <c r="C699" s="135"/>
      <c r="D699" s="136" t="s">
        <v>435</v>
      </c>
      <c r="E699" s="135"/>
      <c r="F699" s="135"/>
      <c r="G699" s="135"/>
      <c r="H699" s="135"/>
      <c r="AE699" s="1680">
        <v>0.52959999999999996</v>
      </c>
      <c r="AF699" s="1680"/>
      <c r="AG699" s="1680"/>
      <c r="AH699" s="1680"/>
      <c r="AI699" s="1680"/>
    </row>
    <row r="700" spans="1:67" ht="13.05" customHeight="1">
      <c r="B700" s="135"/>
      <c r="C700" s="135"/>
      <c r="D700" s="136" t="s">
        <v>436</v>
      </c>
      <c r="E700" s="135"/>
      <c r="F700" s="135"/>
      <c r="G700" s="135"/>
      <c r="H700" s="135"/>
      <c r="W700" s="1482" t="str">
        <f>H335</f>
        <v>City of Los Angeles</v>
      </c>
      <c r="X700" s="1482"/>
      <c r="Y700" s="1482"/>
      <c r="Z700" s="1482"/>
      <c r="AA700" s="1482"/>
      <c r="AB700" s="1482"/>
      <c r="AC700" s="1482"/>
      <c r="AD700" s="1482"/>
      <c r="AE700" s="1482"/>
      <c r="AF700" s="1482"/>
      <c r="AG700" s="1482"/>
      <c r="AH700" s="1482"/>
      <c r="AI700" s="1482"/>
      <c r="AJ700" s="1482"/>
      <c r="AK700" s="1482"/>
    </row>
    <row r="701" spans="1:67" ht="13.05" customHeight="1">
      <c r="B701" s="135"/>
      <c r="C701" s="135"/>
      <c r="D701" s="136"/>
      <c r="E701" s="135"/>
      <c r="F701" s="135"/>
      <c r="G701" s="135"/>
      <c r="H701" s="135"/>
    </row>
    <row r="702" spans="1:67" ht="13.05" customHeight="1">
      <c r="B702" s="135"/>
      <c r="C702" s="135"/>
      <c r="D702" s="136" t="s">
        <v>438</v>
      </c>
      <c r="E702" s="135"/>
      <c r="F702" s="135"/>
      <c r="G702" s="135"/>
      <c r="H702" s="135"/>
      <c r="AE702" s="1414" t="s">
        <v>669</v>
      </c>
      <c r="AF702" s="1414"/>
      <c r="AZ702" s="4" t="s">
        <v>323</v>
      </c>
    </row>
    <row r="703" spans="1:67" ht="13.05" customHeight="1">
      <c r="B703" s="135"/>
      <c r="C703" s="135"/>
      <c r="D703" s="136" t="s">
        <v>442</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324</v>
      </c>
    </row>
    <row r="704" spans="1:67" ht="13.05"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3.05" customHeight="1">
      <c r="B705" s="135"/>
      <c r="C705" s="135"/>
      <c r="D705" s="136" t="s">
        <v>88</v>
      </c>
      <c r="J705" s="1486"/>
      <c r="K705" s="1486"/>
      <c r="L705" s="1486"/>
      <c r="M705" s="1486"/>
      <c r="N705" s="1486"/>
      <c r="O705" s="1486"/>
      <c r="P705" s="4" t="s">
        <v>205</v>
      </c>
      <c r="Q705" s="4"/>
      <c r="R705" s="1470"/>
      <c r="S705" s="1470"/>
      <c r="T705" s="147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604" t="s">
        <v>388</v>
      </c>
      <c r="C714" s="1498"/>
      <c r="D714" s="1498"/>
      <c r="E714" s="1498"/>
      <c r="F714" s="1499"/>
      <c r="G714" s="1604" t="s">
        <v>284</v>
      </c>
      <c r="H714" s="1498"/>
      <c r="I714" s="1498"/>
      <c r="J714" s="1499"/>
      <c r="K714" s="1509" t="s">
        <v>1679</v>
      </c>
      <c r="L714" s="1510"/>
      <c r="M714" s="1510"/>
      <c r="N714" s="1511"/>
      <c r="O714" s="1604" t="s">
        <v>447</v>
      </c>
      <c r="P714" s="1498"/>
      <c r="Q714" s="1498"/>
      <c r="R714" s="1498"/>
      <c r="S714" s="1499"/>
      <c r="T714" s="1497" t="s">
        <v>1950</v>
      </c>
      <c r="U714" s="1498"/>
      <c r="V714" s="1498"/>
      <c r="W714" s="1499"/>
      <c r="X714" s="1497" t="s">
        <v>1952</v>
      </c>
      <c r="Y714" s="1498"/>
      <c r="Z714" s="1498"/>
      <c r="AA714" s="1498"/>
      <c r="AB714" s="1499"/>
      <c r="AC714" s="1497" t="s">
        <v>1951</v>
      </c>
      <c r="AD714" s="1498"/>
      <c r="AE714" s="1498"/>
      <c r="AF714" s="1498"/>
      <c r="AG714" s="1499"/>
      <c r="AH714" s="1497" t="s">
        <v>1953</v>
      </c>
      <c r="AI714" s="1498"/>
      <c r="AJ714" s="1499"/>
      <c r="AK714" s="1497" t="s">
        <v>1980</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500"/>
      <c r="C715" s="1501"/>
      <c r="D715" s="1501"/>
      <c r="E715" s="1501"/>
      <c r="F715" s="1502"/>
      <c r="G715" s="1500"/>
      <c r="H715" s="1501"/>
      <c r="I715" s="1501"/>
      <c r="J715" s="1502"/>
      <c r="K715" s="1512"/>
      <c r="L715" s="1513"/>
      <c r="M715" s="1513"/>
      <c r="N715" s="1514"/>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500"/>
      <c r="C716" s="1501"/>
      <c r="D716" s="1501"/>
      <c r="E716" s="1501"/>
      <c r="F716" s="1502"/>
      <c r="G716" s="1500"/>
      <c r="H716" s="1501"/>
      <c r="I716" s="1501"/>
      <c r="J716" s="1502"/>
      <c r="K716" s="1512"/>
      <c r="L716" s="1513"/>
      <c r="M716" s="1513"/>
      <c r="N716" s="1514"/>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503"/>
      <c r="C717" s="1504"/>
      <c r="D717" s="1504"/>
      <c r="E717" s="1504"/>
      <c r="F717" s="1505"/>
      <c r="G717" s="1503"/>
      <c r="H717" s="1504"/>
      <c r="I717" s="1504"/>
      <c r="J717" s="1505"/>
      <c r="K717" s="1512"/>
      <c r="L717" s="1513"/>
      <c r="M717" s="1513"/>
      <c r="N717" s="1514"/>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4"/>
      <c r="CJ717" s="1336"/>
      <c r="CK717" s="121" t="s">
        <v>475</v>
      </c>
      <c r="CL717" s="122"/>
      <c r="CM717" s="1334"/>
      <c r="CN717" s="1336"/>
      <c r="CO717" s="3"/>
      <c r="CP717" s="1790" t="s">
        <v>633</v>
      </c>
      <c r="CQ717" s="1791"/>
      <c r="CR717" s="1791"/>
      <c r="CS717" s="1791"/>
      <c r="CT717" s="1792"/>
      <c r="CU717" s="1487" t="s">
        <v>324</v>
      </c>
      <c r="CV717" s="1487"/>
      <c r="CW717" s="1487"/>
      <c r="CX717" s="1487"/>
      <c r="CY717" s="1487"/>
      <c r="CZ717" s="1487" t="s">
        <v>163</v>
      </c>
      <c r="DA717" s="1487"/>
      <c r="DB717" s="1487"/>
      <c r="DC717" s="1487"/>
      <c r="DD717" s="1487"/>
      <c r="DE717" s="1487" t="s">
        <v>164</v>
      </c>
      <c r="DF717" s="1487"/>
      <c r="DG717" s="1487"/>
      <c r="DH717" s="1487"/>
      <c r="DI717" s="1487"/>
      <c r="DJ717" s="1487" t="s">
        <v>460</v>
      </c>
      <c r="DK717" s="1487"/>
      <c r="DL717" s="1487"/>
      <c r="DM717" s="1487"/>
      <c r="DN717" s="1487"/>
      <c r="DO717" s="1487" t="s">
        <v>30</v>
      </c>
      <c r="DP717" s="1487"/>
      <c r="DQ717" s="1487"/>
      <c r="DR717" s="1487"/>
      <c r="DS717" s="1487"/>
      <c r="DT717" s="89"/>
      <c r="DU717" s="1487" t="s">
        <v>633</v>
      </c>
      <c r="DV717" s="1487"/>
      <c r="DW717" s="1487"/>
      <c r="DX717" s="1487"/>
      <c r="DY717" s="1487"/>
      <c r="DZ717" s="1487" t="s">
        <v>324</v>
      </c>
      <c r="EA717" s="1487"/>
      <c r="EB717" s="1487"/>
      <c r="EC717" s="1487"/>
      <c r="ED717" s="1487"/>
      <c r="EE717" s="1487" t="s">
        <v>163</v>
      </c>
      <c r="EF717" s="1487"/>
      <c r="EG717" s="1487"/>
      <c r="EH717" s="1487"/>
      <c r="EI717" s="1487"/>
      <c r="EJ717" s="1487" t="s">
        <v>164</v>
      </c>
      <c r="EK717" s="1487"/>
      <c r="EL717" s="1487"/>
      <c r="EM717" s="1487"/>
      <c r="EN717" s="1487"/>
      <c r="EO717" s="1487" t="s">
        <v>460</v>
      </c>
      <c r="EP717" s="1487"/>
      <c r="EQ717" s="1487"/>
      <c r="ER717" s="1487"/>
      <c r="ES717" s="1487"/>
      <c r="ET717" s="1487" t="s">
        <v>30</v>
      </c>
      <c r="EU717" s="1487"/>
      <c r="EV717" s="1487"/>
      <c r="EW717" s="1487"/>
      <c r="EX717" s="1487"/>
      <c r="EY717" s="4"/>
      <c r="EZ717" s="1487" t="s">
        <v>633</v>
      </c>
      <c r="FA717" s="1487"/>
      <c r="FB717" s="1487"/>
      <c r="FC717" s="1487"/>
      <c r="FD717" s="1487"/>
      <c r="FE717" s="1487" t="s">
        <v>324</v>
      </c>
      <c r="FF717" s="1487"/>
      <c r="FG717" s="1487"/>
      <c r="FH717" s="1487"/>
      <c r="FI717" s="1487"/>
      <c r="FJ717" s="1487" t="s">
        <v>163</v>
      </c>
      <c r="FK717" s="1487"/>
      <c r="FL717" s="1487"/>
      <c r="FM717" s="1487"/>
      <c r="FN717" s="1487"/>
      <c r="FO717" s="1487" t="s">
        <v>164</v>
      </c>
      <c r="FP717" s="1487"/>
      <c r="FQ717" s="1487"/>
      <c r="FR717" s="1487"/>
      <c r="FS717" s="1487"/>
      <c r="FT717" s="1487" t="s">
        <v>460</v>
      </c>
      <c r="FU717" s="1487"/>
      <c r="FV717" s="1487"/>
      <c r="FW717" s="1487"/>
      <c r="FX717" s="1487"/>
      <c r="FY717" s="1487" t="s">
        <v>30</v>
      </c>
      <c r="FZ717" s="1487"/>
      <c r="GA717" s="1487"/>
      <c r="GB717" s="1487"/>
      <c r="GC717" s="1487"/>
    </row>
    <row r="718" spans="1:185" ht="13.05" customHeight="1">
      <c r="A718" s="4"/>
      <c r="B718" s="1354" t="s">
        <v>324</v>
      </c>
      <c r="C718" s="1355"/>
      <c r="D718" s="1355"/>
      <c r="E718" s="1355"/>
      <c r="F718" s="1356"/>
      <c r="G718" s="1363">
        <v>10</v>
      </c>
      <c r="H718" s="1364"/>
      <c r="I718" s="1364"/>
      <c r="J718" s="1365"/>
      <c r="K718" s="1598">
        <v>492.73015873015873</v>
      </c>
      <c r="L718" s="1599"/>
      <c r="M718" s="1599"/>
      <c r="N718" s="1600"/>
      <c r="O718" s="1467">
        <v>885</v>
      </c>
      <c r="P718" s="1468"/>
      <c r="Q718" s="1468"/>
      <c r="R718" s="1468"/>
      <c r="S718" s="1469"/>
      <c r="T718" s="1467">
        <v>25</v>
      </c>
      <c r="U718" s="1468"/>
      <c r="V718" s="1468"/>
      <c r="W718" s="1469"/>
      <c r="X718" s="1357">
        <f t="shared" ref="X718:X741" si="8">O718+T718</f>
        <v>910</v>
      </c>
      <c r="Y718" s="1358"/>
      <c r="Z718" s="1358"/>
      <c r="AA718" s="1358"/>
      <c r="AB718" s="1359"/>
      <c r="AC718" s="1608">
        <v>0.35</v>
      </c>
      <c r="AD718" s="1609"/>
      <c r="AE718" s="1609"/>
      <c r="AF718" s="1609"/>
      <c r="AG718" s="1610"/>
      <c r="AH718" s="1360">
        <f>IF($AC718&gt;0,($X718/$AZ718), "")</f>
        <v>0.35</v>
      </c>
      <c r="AI718" s="1361"/>
      <c r="AJ718" s="1362"/>
      <c r="AK718" s="1354" t="s">
        <v>591</v>
      </c>
      <c r="AL718" s="1355"/>
      <c r="AM718" s="1355"/>
      <c r="AN718" s="1355"/>
      <c r="AO718" s="1356"/>
      <c r="AP718" s="3"/>
      <c r="AQ718" s="3"/>
      <c r="AR718" s="3"/>
      <c r="AS718" s="3"/>
      <c r="AZ718" s="118">
        <f t="shared" ref="AZ718:AZ752" si="9">IF($G718=0,"N/A",VLOOKUP($T$189,TC_Rent,(MATCH($B718,bedrooms,FALSE)),FALSE))</f>
        <v>2600</v>
      </c>
      <c r="BA718" s="3"/>
      <c r="BB718" s="3"/>
      <c r="BC718" s="3"/>
      <c r="BD718" s="3"/>
      <c r="BE718" s="205"/>
      <c r="BF718" s="294">
        <f t="shared" ref="BF718:BF752" si="10">G718</f>
        <v>10</v>
      </c>
      <c r="BG718" s="298">
        <f t="shared" ref="BG718:BG752" si="11">IF($BF$753=0,0,BF718/$BF$753)</f>
        <v>0.15873015873015872</v>
      </c>
      <c r="BH718" s="299">
        <f t="shared" ref="BH718:BH752" si="12">IF(BG718=0,"",BG718*AC718)</f>
        <v>5.5555555555555546E-2</v>
      </c>
      <c r="BI718" s="3"/>
      <c r="BJ718" s="3"/>
      <c r="BK718" s="3"/>
      <c r="BL718" s="3"/>
      <c r="BM718" s="3"/>
      <c r="BN718" s="3"/>
      <c r="BS718" s="294">
        <f t="shared" ref="BS718:BS752" si="13">G718</f>
        <v>10</v>
      </c>
      <c r="BT718" s="298">
        <f t="shared" ref="BT718:BT752" si="14">IF($BS$753=0,0,BS718/$BS$753)</f>
        <v>0.15873015873015872</v>
      </c>
      <c r="BU718" s="299">
        <f t="shared" ref="BU718:BU752" si="15">IF(BT718=0,"",BT718*AH718)</f>
        <v>5.5555555555555546E-2</v>
      </c>
      <c r="CC718" s="3"/>
      <c r="CD718" s="3"/>
      <c r="CE718" s="3"/>
      <c r="CF718" s="3"/>
      <c r="CG718" s="1350">
        <f>IF(AND(AC718&lt;=0.5,AC718&gt;=0.36),1,0)</f>
        <v>0</v>
      </c>
      <c r="CH718" s="1352"/>
      <c r="CI718" s="1334">
        <f>IF(CG718=1,G718,0)</f>
        <v>0</v>
      </c>
      <c r="CJ718" s="1336"/>
      <c r="CK718" s="1350">
        <f t="shared" ref="CK718:CK752" si="16">IF(AND(AC718&lt;=0.35,AC718&gt;0),1,0)</f>
        <v>1</v>
      </c>
      <c r="CL718" s="1352"/>
      <c r="CM718" s="1334">
        <f t="shared" ref="CM718:CM752" si="17">IF(CK718=1,G718,0)</f>
        <v>10</v>
      </c>
      <c r="CN718" s="1336"/>
      <c r="CO718" s="3"/>
      <c r="CP718" s="1331">
        <f t="shared" ref="CP718:CP752" si="18">IF(B718="SRO/Studio",G718,0)</f>
        <v>0</v>
      </c>
      <c r="CQ718" s="1332"/>
      <c r="CR718" s="1332"/>
      <c r="CS718" s="1332"/>
      <c r="CT718" s="1333"/>
      <c r="CU718" s="1353">
        <f t="shared" ref="CU718:CU752" si="19">IF(B718="1 Bedroom",G718,0)</f>
        <v>10</v>
      </c>
      <c r="CV718" s="1353"/>
      <c r="CW718" s="1353"/>
      <c r="CX718" s="1353"/>
      <c r="CY718" s="1353"/>
      <c r="CZ718" s="1353">
        <f t="shared" ref="CZ718:CZ752" si="20">IF(B718="2 Bedrooms",G718,0)</f>
        <v>0</v>
      </c>
      <c r="DA718" s="1353"/>
      <c r="DB718" s="1353"/>
      <c r="DC718" s="1353"/>
      <c r="DD718" s="1353"/>
      <c r="DE718" s="1353">
        <f t="shared" ref="DE718:DE752" si="21">IF(B718="3 Bedrooms",G718,0)</f>
        <v>0</v>
      </c>
      <c r="DF718" s="1353"/>
      <c r="DG718" s="1353"/>
      <c r="DH718" s="1353"/>
      <c r="DI718" s="1353"/>
      <c r="DJ718" s="1353">
        <f t="shared" ref="DJ718:DJ752" si="22">IF(B718="4 Bedrooms",G718,0)</f>
        <v>0</v>
      </c>
      <c r="DK718" s="1353"/>
      <c r="DL718" s="1353"/>
      <c r="DM718" s="1353"/>
      <c r="DN718" s="1353"/>
      <c r="DO718" s="1353">
        <f t="shared" ref="DO718:DO752" si="23">IF(B718="5 Bedrooms",G718,0)</f>
        <v>0</v>
      </c>
      <c r="DP718" s="1353"/>
      <c r="DQ718" s="1353"/>
      <c r="DR718" s="1353"/>
      <c r="DS718" s="1353"/>
      <c r="DT718" s="6"/>
      <c r="DU718" s="1367">
        <f t="shared" ref="DU718:DU752" si="24">IF(AND(B718="SRO/Studio",AC718&lt;=0.3),G718,0)</f>
        <v>0</v>
      </c>
      <c r="DV718" s="1367"/>
      <c r="DW718" s="1367"/>
      <c r="DX718" s="1367"/>
      <c r="DY718" s="1367"/>
      <c r="DZ718" s="1367">
        <f t="shared" ref="DZ718:DZ752" si="25">IF(AND(B718="1 Bedroom",AC718&lt;=0.3),G718,0)</f>
        <v>0</v>
      </c>
      <c r="EA718" s="1367"/>
      <c r="EB718" s="1367"/>
      <c r="EC718" s="1367"/>
      <c r="ED718" s="1367"/>
      <c r="EE718" s="1367">
        <f t="shared" ref="EE718:EE752" si="26">IF(AND(B718="2 Bedrooms",AC718&lt;=0.3),G718,0)</f>
        <v>0</v>
      </c>
      <c r="EF718" s="1367"/>
      <c r="EG718" s="1367"/>
      <c r="EH718" s="1367"/>
      <c r="EI718" s="1367"/>
      <c r="EJ718" s="1367">
        <f t="shared" ref="EJ718:EJ752" si="27">IF(AND(B718="3 Bedrooms",AC718&lt;=0.3),G718,0)</f>
        <v>0</v>
      </c>
      <c r="EK718" s="1367"/>
      <c r="EL718" s="1367"/>
      <c r="EM718" s="1367"/>
      <c r="EN718" s="1367"/>
      <c r="EO718" s="1367">
        <f t="shared" ref="EO718:EO752" si="28">IF(AND(B718="4 Bedrooms",AC718&lt;=0.3),G718,0)</f>
        <v>0</v>
      </c>
      <c r="EP718" s="1367"/>
      <c r="EQ718" s="1367"/>
      <c r="ER718" s="1367"/>
      <c r="ES718" s="1367"/>
      <c r="ET718" s="1367">
        <f t="shared" ref="ET718:ET752" si="29">IF(AND(B718="5 Bedrooms",AC718&lt;=0.3),G718,0)</f>
        <v>0</v>
      </c>
      <c r="EU718" s="1367"/>
      <c r="EV718" s="1367"/>
      <c r="EW718" s="1367"/>
      <c r="EX718" s="1367"/>
      <c r="EY718" s="4"/>
      <c r="EZ718" s="1350" t="str">
        <f t="shared" ref="EZ718:EZ752" si="30">IF(CP718&gt;0,O718,"")</f>
        <v/>
      </c>
      <c r="FA718" s="1351"/>
      <c r="FB718" s="1351"/>
      <c r="FC718" s="1351"/>
      <c r="FD718" s="1352"/>
      <c r="FE718" s="1350">
        <f t="shared" ref="FE718:FE752" si="31">IF(CU718&gt;0,O718,"")</f>
        <v>885</v>
      </c>
      <c r="FF718" s="1351"/>
      <c r="FG718" s="1351"/>
      <c r="FH718" s="1351"/>
      <c r="FI718" s="1352"/>
      <c r="FJ718" s="1350" t="str">
        <f t="shared" ref="FJ718:FJ752" si="32">IF(CZ718&gt;0,O718,"")</f>
        <v/>
      </c>
      <c r="FK718" s="1351"/>
      <c r="FL718" s="1351"/>
      <c r="FM718" s="1351"/>
      <c r="FN718" s="1352"/>
      <c r="FO718" s="1350" t="str">
        <f t="shared" ref="FO718:FO752" si="33">IF(DE718&gt;0,O718,"")</f>
        <v/>
      </c>
      <c r="FP718" s="1351"/>
      <c r="FQ718" s="1351"/>
      <c r="FR718" s="1351"/>
      <c r="FS718" s="1352"/>
      <c r="FT718" s="1350" t="str">
        <f t="shared" ref="FT718:FT752" si="34">IF(DJ718&gt;0,O718,"")</f>
        <v/>
      </c>
      <c r="FU718" s="1351"/>
      <c r="FV718" s="1351"/>
      <c r="FW718" s="1351"/>
      <c r="FX718" s="1352"/>
      <c r="FY718" s="1350" t="str">
        <f t="shared" ref="FY718:FY752" si="35">IF(DO718&gt;0,O718,"")</f>
        <v/>
      </c>
      <c r="FZ718" s="1351"/>
      <c r="GA718" s="1351"/>
      <c r="GB718" s="1351"/>
      <c r="GC718" s="1352"/>
    </row>
    <row r="719" spans="1:185" ht="13.05" customHeight="1">
      <c r="A719" s="4"/>
      <c r="B719" s="1354" t="s">
        <v>324</v>
      </c>
      <c r="C719" s="1355"/>
      <c r="D719" s="1355"/>
      <c r="E719" s="1355"/>
      <c r="F719" s="1356"/>
      <c r="G719" s="1363">
        <v>43</v>
      </c>
      <c r="H719" s="1364"/>
      <c r="I719" s="1364"/>
      <c r="J719" s="1365"/>
      <c r="K719" s="1598">
        <v>492.73015873015879</v>
      </c>
      <c r="L719" s="1599"/>
      <c r="M719" s="1599"/>
      <c r="N719" s="1600"/>
      <c r="O719" s="1467">
        <v>1275</v>
      </c>
      <c r="P719" s="1468"/>
      <c r="Q719" s="1468"/>
      <c r="R719" s="1468"/>
      <c r="S719" s="1469"/>
      <c r="T719" s="1467">
        <v>25</v>
      </c>
      <c r="U719" s="1468"/>
      <c r="V719" s="1468"/>
      <c r="W719" s="1469"/>
      <c r="X719" s="1357">
        <f t="shared" si="8"/>
        <v>1300</v>
      </c>
      <c r="Y719" s="1358"/>
      <c r="Z719" s="1358"/>
      <c r="AA719" s="1358"/>
      <c r="AB719" s="1359"/>
      <c r="AC719" s="1608">
        <v>0.5</v>
      </c>
      <c r="AD719" s="1609"/>
      <c r="AE719" s="1609"/>
      <c r="AF719" s="1609"/>
      <c r="AG719" s="1610"/>
      <c r="AH719" s="1360">
        <f t="shared" ref="AH719:AH752" si="36">IF($AC719&gt;0,($X719/$AZ719), "")</f>
        <v>0.5</v>
      </c>
      <c r="AI719" s="1361"/>
      <c r="AJ719" s="1362"/>
      <c r="AK719" s="1354" t="s">
        <v>591</v>
      </c>
      <c r="AL719" s="1355"/>
      <c r="AM719" s="1355"/>
      <c r="AN719" s="1355"/>
      <c r="AO719" s="1356"/>
      <c r="AP719" s="3"/>
      <c r="AQ719" s="3"/>
      <c r="AR719" s="3"/>
      <c r="AS719" s="3"/>
      <c r="AZ719" s="118">
        <f t="shared" si="9"/>
        <v>2600</v>
      </c>
      <c r="BA719" s="3"/>
      <c r="BB719" s="3"/>
      <c r="BC719" s="3"/>
      <c r="BD719" s="3"/>
      <c r="BE719" s="205"/>
      <c r="BF719" s="295">
        <f t="shared" si="10"/>
        <v>43</v>
      </c>
      <c r="BG719" s="298">
        <f t="shared" si="11"/>
        <v>0.68253968253968256</v>
      </c>
      <c r="BH719" s="299">
        <f t="shared" si="12"/>
        <v>0.34126984126984128</v>
      </c>
      <c r="BI719" s="3"/>
      <c r="BJ719" s="3"/>
      <c r="BK719" s="3"/>
      <c r="BL719" s="3"/>
      <c r="BM719" s="3"/>
      <c r="BN719" s="3"/>
      <c r="BS719" s="295">
        <f t="shared" si="13"/>
        <v>43</v>
      </c>
      <c r="BT719" s="298">
        <f t="shared" si="14"/>
        <v>0.68253968253968256</v>
      </c>
      <c r="BU719" s="299">
        <f t="shared" si="15"/>
        <v>0.34126984126984128</v>
      </c>
      <c r="CC719" s="3"/>
      <c r="CD719" s="3"/>
      <c r="CE719" s="3"/>
      <c r="CF719" s="3"/>
      <c r="CG719" s="1350">
        <f t="shared" ref="CG719:CG752" si="37">IF(AND(AC719&lt;=0.5,AC719&gt;=0.36),1,0)</f>
        <v>1</v>
      </c>
      <c r="CH719" s="1352"/>
      <c r="CI719" s="1334">
        <f t="shared" ref="CI719:CI752" si="38">IF(CG719=1,G719,0)</f>
        <v>43</v>
      </c>
      <c r="CJ719" s="1336"/>
      <c r="CK719" s="1350">
        <f t="shared" si="16"/>
        <v>0</v>
      </c>
      <c r="CL719" s="1352"/>
      <c r="CM719" s="1334">
        <f t="shared" si="17"/>
        <v>0</v>
      </c>
      <c r="CN719" s="1336"/>
      <c r="CO719" s="3"/>
      <c r="CP719" s="1331">
        <f t="shared" si="18"/>
        <v>0</v>
      </c>
      <c r="CQ719" s="1332"/>
      <c r="CR719" s="1332"/>
      <c r="CS719" s="1332"/>
      <c r="CT719" s="1333"/>
      <c r="CU719" s="1353">
        <f t="shared" si="19"/>
        <v>43</v>
      </c>
      <c r="CV719" s="1353"/>
      <c r="CW719" s="1353"/>
      <c r="CX719" s="1353"/>
      <c r="CY719" s="1353"/>
      <c r="CZ719" s="1353">
        <f t="shared" si="20"/>
        <v>0</v>
      </c>
      <c r="DA719" s="1353"/>
      <c r="DB719" s="1353"/>
      <c r="DC719" s="1353"/>
      <c r="DD719" s="1353"/>
      <c r="DE719" s="1353">
        <f t="shared" si="21"/>
        <v>0</v>
      </c>
      <c r="DF719" s="1353"/>
      <c r="DG719" s="1353"/>
      <c r="DH719" s="1353"/>
      <c r="DI719" s="1353"/>
      <c r="DJ719" s="1353">
        <f t="shared" si="22"/>
        <v>0</v>
      </c>
      <c r="DK719" s="1353"/>
      <c r="DL719" s="1353"/>
      <c r="DM719" s="1353"/>
      <c r="DN719" s="1353"/>
      <c r="DO719" s="1353">
        <f t="shared" si="23"/>
        <v>0</v>
      </c>
      <c r="DP719" s="1353"/>
      <c r="DQ719" s="1353"/>
      <c r="DR719" s="1353"/>
      <c r="DS719" s="1353"/>
      <c r="DT719" s="6"/>
      <c r="DU719" s="1367">
        <f t="shared" si="24"/>
        <v>0</v>
      </c>
      <c r="DV719" s="1367"/>
      <c r="DW719" s="1367"/>
      <c r="DX719" s="1367"/>
      <c r="DY719" s="1367"/>
      <c r="DZ719" s="1367">
        <f t="shared" si="25"/>
        <v>0</v>
      </c>
      <c r="EA719" s="1367"/>
      <c r="EB719" s="1367"/>
      <c r="EC719" s="1367"/>
      <c r="ED719" s="1367"/>
      <c r="EE719" s="1367">
        <f t="shared" si="26"/>
        <v>0</v>
      </c>
      <c r="EF719" s="1367"/>
      <c r="EG719" s="1367"/>
      <c r="EH719" s="1367"/>
      <c r="EI719" s="1367"/>
      <c r="EJ719" s="1367">
        <f t="shared" si="27"/>
        <v>0</v>
      </c>
      <c r="EK719" s="1367"/>
      <c r="EL719" s="1367"/>
      <c r="EM719" s="1367"/>
      <c r="EN719" s="1367"/>
      <c r="EO719" s="1367">
        <f t="shared" si="28"/>
        <v>0</v>
      </c>
      <c r="EP719" s="1367"/>
      <c r="EQ719" s="1367"/>
      <c r="ER719" s="1367"/>
      <c r="ES719" s="1367"/>
      <c r="ET719" s="1367">
        <f t="shared" si="29"/>
        <v>0</v>
      </c>
      <c r="EU719" s="1367"/>
      <c r="EV719" s="1367"/>
      <c r="EW719" s="1367"/>
      <c r="EX719" s="1367"/>
      <c r="EY719" s="4"/>
      <c r="EZ719" s="1350" t="str">
        <f t="shared" si="30"/>
        <v/>
      </c>
      <c r="FA719" s="1351"/>
      <c r="FB719" s="1351"/>
      <c r="FC719" s="1351"/>
      <c r="FD719" s="1352"/>
      <c r="FE719" s="1350">
        <f t="shared" si="31"/>
        <v>1275</v>
      </c>
      <c r="FF719" s="1351"/>
      <c r="FG719" s="1351"/>
      <c r="FH719" s="1351"/>
      <c r="FI719" s="1352"/>
      <c r="FJ719" s="1350" t="str">
        <f t="shared" si="32"/>
        <v/>
      </c>
      <c r="FK719" s="1351"/>
      <c r="FL719" s="1351"/>
      <c r="FM719" s="1351"/>
      <c r="FN719" s="1352"/>
      <c r="FO719" s="1350" t="str">
        <f t="shared" si="33"/>
        <v/>
      </c>
      <c r="FP719" s="1351"/>
      <c r="FQ719" s="1351"/>
      <c r="FR719" s="1351"/>
      <c r="FS719" s="1352"/>
      <c r="FT719" s="1350" t="str">
        <f t="shared" si="34"/>
        <v/>
      </c>
      <c r="FU719" s="1351"/>
      <c r="FV719" s="1351"/>
      <c r="FW719" s="1351"/>
      <c r="FX719" s="1352"/>
      <c r="FY719" s="1350" t="str">
        <f t="shared" si="35"/>
        <v/>
      </c>
      <c r="FZ719" s="1351"/>
      <c r="GA719" s="1351"/>
      <c r="GB719" s="1351"/>
      <c r="GC719" s="1352"/>
    </row>
    <row r="720" spans="1:185" ht="13.05" customHeight="1">
      <c r="A720" s="4"/>
      <c r="B720" s="1354" t="s">
        <v>324</v>
      </c>
      <c r="C720" s="1355"/>
      <c r="D720" s="1355"/>
      <c r="E720" s="1355"/>
      <c r="F720" s="1356"/>
      <c r="G720" s="1363">
        <v>10</v>
      </c>
      <c r="H720" s="1364"/>
      <c r="I720" s="1364"/>
      <c r="J720" s="1365"/>
      <c r="K720" s="1598">
        <v>492.73015873015873</v>
      </c>
      <c r="L720" s="1599"/>
      <c r="M720" s="1599"/>
      <c r="N720" s="1600"/>
      <c r="O720" s="1467">
        <v>1535</v>
      </c>
      <c r="P720" s="1468"/>
      <c r="Q720" s="1468"/>
      <c r="R720" s="1468"/>
      <c r="S720" s="1469"/>
      <c r="T720" s="1467">
        <v>25</v>
      </c>
      <c r="U720" s="1468"/>
      <c r="V720" s="1468"/>
      <c r="W720" s="1469"/>
      <c r="X720" s="1357">
        <f t="shared" si="8"/>
        <v>1560</v>
      </c>
      <c r="Y720" s="1358"/>
      <c r="Z720" s="1358"/>
      <c r="AA720" s="1358"/>
      <c r="AB720" s="1359"/>
      <c r="AC720" s="1608">
        <v>0.6</v>
      </c>
      <c r="AD720" s="1609"/>
      <c r="AE720" s="1609"/>
      <c r="AF720" s="1609"/>
      <c r="AG720" s="1610"/>
      <c r="AH720" s="1360">
        <f t="shared" si="36"/>
        <v>0.6</v>
      </c>
      <c r="AI720" s="1361"/>
      <c r="AJ720" s="1362"/>
      <c r="AK720" s="1354" t="s">
        <v>591</v>
      </c>
      <c r="AL720" s="1355"/>
      <c r="AM720" s="1355"/>
      <c r="AN720" s="1355"/>
      <c r="AO720" s="1356"/>
      <c r="AP720" s="3"/>
      <c r="AQ720" s="3"/>
      <c r="AR720" s="3"/>
      <c r="AS720" s="3"/>
      <c r="AZ720" s="118">
        <f t="shared" si="9"/>
        <v>2600</v>
      </c>
      <c r="BA720" s="3"/>
      <c r="BB720" s="3"/>
      <c r="BC720" s="3"/>
      <c r="BD720" s="3"/>
      <c r="BE720" s="205"/>
      <c r="BF720" s="295">
        <f t="shared" si="10"/>
        <v>10</v>
      </c>
      <c r="BG720" s="298">
        <f t="shared" si="11"/>
        <v>0.15873015873015872</v>
      </c>
      <c r="BH720" s="299">
        <f t="shared" si="12"/>
        <v>9.5238095238095233E-2</v>
      </c>
      <c r="BI720" s="3"/>
      <c r="BJ720" s="3"/>
      <c r="BK720" s="3"/>
      <c r="BL720" s="3"/>
      <c r="BM720" s="3"/>
      <c r="BN720" s="3"/>
      <c r="BS720" s="295">
        <f t="shared" si="13"/>
        <v>10</v>
      </c>
      <c r="BT720" s="298">
        <f t="shared" si="14"/>
        <v>0.15873015873015872</v>
      </c>
      <c r="BU720" s="299">
        <f t="shared" si="15"/>
        <v>9.5238095238095233E-2</v>
      </c>
      <c r="CC720" s="3"/>
      <c r="CD720" s="3"/>
      <c r="CE720" s="3"/>
      <c r="CF720" s="3"/>
      <c r="CG720" s="1350">
        <f t="shared" si="37"/>
        <v>0</v>
      </c>
      <c r="CH720" s="1352"/>
      <c r="CI720" s="1334">
        <f t="shared" si="38"/>
        <v>0</v>
      </c>
      <c r="CJ720" s="1336"/>
      <c r="CK720" s="1350">
        <f t="shared" si="16"/>
        <v>0</v>
      </c>
      <c r="CL720" s="1352"/>
      <c r="CM720" s="1334">
        <f t="shared" si="17"/>
        <v>0</v>
      </c>
      <c r="CN720" s="1336"/>
      <c r="CO720" s="3"/>
      <c r="CP720" s="1331">
        <f t="shared" si="18"/>
        <v>0</v>
      </c>
      <c r="CQ720" s="1332"/>
      <c r="CR720" s="1332"/>
      <c r="CS720" s="1332"/>
      <c r="CT720" s="1333"/>
      <c r="CU720" s="1353">
        <f t="shared" si="19"/>
        <v>10</v>
      </c>
      <c r="CV720" s="1353"/>
      <c r="CW720" s="1353"/>
      <c r="CX720" s="1353"/>
      <c r="CY720" s="1353"/>
      <c r="CZ720" s="1353">
        <f t="shared" si="20"/>
        <v>0</v>
      </c>
      <c r="DA720" s="1353"/>
      <c r="DB720" s="1353"/>
      <c r="DC720" s="1353"/>
      <c r="DD720" s="1353"/>
      <c r="DE720" s="1353">
        <f t="shared" si="21"/>
        <v>0</v>
      </c>
      <c r="DF720" s="1353"/>
      <c r="DG720" s="1353"/>
      <c r="DH720" s="1353"/>
      <c r="DI720" s="1353"/>
      <c r="DJ720" s="1353">
        <f t="shared" si="22"/>
        <v>0</v>
      </c>
      <c r="DK720" s="1353"/>
      <c r="DL720" s="1353"/>
      <c r="DM720" s="1353"/>
      <c r="DN720" s="1353"/>
      <c r="DO720" s="1353">
        <f t="shared" si="23"/>
        <v>0</v>
      </c>
      <c r="DP720" s="1353"/>
      <c r="DQ720" s="1353"/>
      <c r="DR720" s="1353"/>
      <c r="DS720" s="1353"/>
      <c r="DT720" s="6"/>
      <c r="DU720" s="1367">
        <f t="shared" si="24"/>
        <v>0</v>
      </c>
      <c r="DV720" s="1367"/>
      <c r="DW720" s="1367"/>
      <c r="DX720" s="1367"/>
      <c r="DY720" s="1367"/>
      <c r="DZ720" s="1367">
        <f t="shared" si="25"/>
        <v>0</v>
      </c>
      <c r="EA720" s="1367"/>
      <c r="EB720" s="1367"/>
      <c r="EC720" s="1367"/>
      <c r="ED720" s="1367"/>
      <c r="EE720" s="1367">
        <f t="shared" si="26"/>
        <v>0</v>
      </c>
      <c r="EF720" s="1367"/>
      <c r="EG720" s="1367"/>
      <c r="EH720" s="1367"/>
      <c r="EI720" s="1367"/>
      <c r="EJ720" s="1367">
        <f t="shared" si="27"/>
        <v>0</v>
      </c>
      <c r="EK720" s="1367"/>
      <c r="EL720" s="1367"/>
      <c r="EM720" s="1367"/>
      <c r="EN720" s="1367"/>
      <c r="EO720" s="1367">
        <f t="shared" si="28"/>
        <v>0</v>
      </c>
      <c r="EP720" s="1367"/>
      <c r="EQ720" s="1367"/>
      <c r="ER720" s="1367"/>
      <c r="ES720" s="1367"/>
      <c r="ET720" s="1367">
        <f t="shared" si="29"/>
        <v>0</v>
      </c>
      <c r="EU720" s="1367"/>
      <c r="EV720" s="1367"/>
      <c r="EW720" s="1367"/>
      <c r="EX720" s="1367"/>
      <c r="EZ720" s="1350" t="str">
        <f t="shared" si="30"/>
        <v/>
      </c>
      <c r="FA720" s="1351"/>
      <c r="FB720" s="1351"/>
      <c r="FC720" s="1351"/>
      <c r="FD720" s="1352"/>
      <c r="FE720" s="1350">
        <f t="shared" si="31"/>
        <v>1535</v>
      </c>
      <c r="FF720" s="1351"/>
      <c r="FG720" s="1351"/>
      <c r="FH720" s="1351"/>
      <c r="FI720" s="1352"/>
      <c r="FJ720" s="1350" t="str">
        <f t="shared" si="32"/>
        <v/>
      </c>
      <c r="FK720" s="1351"/>
      <c r="FL720" s="1351"/>
      <c r="FM720" s="1351"/>
      <c r="FN720" s="1352"/>
      <c r="FO720" s="1350" t="str">
        <f t="shared" si="33"/>
        <v/>
      </c>
      <c r="FP720" s="1351"/>
      <c r="FQ720" s="1351"/>
      <c r="FR720" s="1351"/>
      <c r="FS720" s="1352"/>
      <c r="FT720" s="1350" t="str">
        <f t="shared" si="34"/>
        <v/>
      </c>
      <c r="FU720" s="1351"/>
      <c r="FV720" s="1351"/>
      <c r="FW720" s="1351"/>
      <c r="FX720" s="1352"/>
      <c r="FY720" s="1350" t="str">
        <f t="shared" si="35"/>
        <v/>
      </c>
      <c r="FZ720" s="1351"/>
      <c r="GA720" s="1351"/>
      <c r="GB720" s="1351"/>
      <c r="GC720" s="1352"/>
    </row>
    <row r="721" spans="1:185" ht="13.05" customHeight="1">
      <c r="B721" s="1354"/>
      <c r="C721" s="1355"/>
      <c r="D721" s="1355"/>
      <c r="E721" s="1355"/>
      <c r="F721" s="1356"/>
      <c r="G721" s="1363"/>
      <c r="H721" s="1364"/>
      <c r="I721" s="1364"/>
      <c r="J721" s="1365"/>
      <c r="K721" s="1598"/>
      <c r="L721" s="1599"/>
      <c r="M721" s="1599"/>
      <c r="N721" s="1600"/>
      <c r="O721" s="1467"/>
      <c r="P721" s="1468"/>
      <c r="Q721" s="1468"/>
      <c r="R721" s="1468"/>
      <c r="S721" s="1469"/>
      <c r="T721" s="1467"/>
      <c r="U721" s="1468"/>
      <c r="V721" s="1468"/>
      <c r="W721" s="1469"/>
      <c r="X721" s="1357">
        <f t="shared" si="8"/>
        <v>0</v>
      </c>
      <c r="Y721" s="1358"/>
      <c r="Z721" s="1358"/>
      <c r="AA721" s="1358"/>
      <c r="AB721" s="1359"/>
      <c r="AC721" s="1608"/>
      <c r="AD721" s="1609"/>
      <c r="AE721" s="1609"/>
      <c r="AF721" s="1609"/>
      <c r="AG721" s="1610"/>
      <c r="AH721" s="1360" t="str">
        <f t="shared" si="36"/>
        <v/>
      </c>
      <c r="AI721" s="1361"/>
      <c r="AJ721" s="1362"/>
      <c r="AK721" s="1354" t="s">
        <v>591</v>
      </c>
      <c r="AL721" s="1355"/>
      <c r="AM721" s="1355"/>
      <c r="AN721" s="1355"/>
      <c r="AO721" s="1356"/>
      <c r="AP721" s="3"/>
      <c r="AQ721" s="3"/>
      <c r="AR721" s="3"/>
      <c r="AS721" s="3"/>
      <c r="AY721" s="116"/>
      <c r="AZ721" s="118" t="str">
        <f t="shared" si="9"/>
        <v>N/A</v>
      </c>
      <c r="BA721" s="3"/>
      <c r="BB721" s="3"/>
      <c r="BC721" s="3"/>
      <c r="BD721" s="3"/>
      <c r="BE721" s="205"/>
      <c r="BF721" s="295">
        <f t="shared" si="10"/>
        <v>0</v>
      </c>
      <c r="BG721" s="298">
        <f t="shared" si="11"/>
        <v>0</v>
      </c>
      <c r="BH721" s="299" t="str">
        <f t="shared" si="12"/>
        <v/>
      </c>
      <c r="BI721" s="3"/>
      <c r="BJ721" s="3"/>
      <c r="BK721" s="3"/>
      <c r="BL721" s="3"/>
      <c r="BM721" s="3"/>
      <c r="BN721" s="3"/>
      <c r="BS721" s="295">
        <f t="shared" si="13"/>
        <v>0</v>
      </c>
      <c r="BT721" s="298">
        <f t="shared" si="14"/>
        <v>0</v>
      </c>
      <c r="BU721" s="299" t="str">
        <f t="shared" si="15"/>
        <v/>
      </c>
      <c r="CC721" s="3"/>
      <c r="CD721" s="3"/>
      <c r="CE721" s="3"/>
      <c r="CF721" s="3"/>
      <c r="CG721" s="1350">
        <f t="shared" si="37"/>
        <v>0</v>
      </c>
      <c r="CH721" s="1352"/>
      <c r="CI721" s="1334">
        <f t="shared" si="38"/>
        <v>0</v>
      </c>
      <c r="CJ721" s="1336"/>
      <c r="CK721" s="1350">
        <f t="shared" si="16"/>
        <v>0</v>
      </c>
      <c r="CL721" s="1352"/>
      <c r="CM721" s="1334">
        <f t="shared" si="17"/>
        <v>0</v>
      </c>
      <c r="CN721" s="1336"/>
      <c r="CO721" s="3"/>
      <c r="CP721" s="1331">
        <f t="shared" si="18"/>
        <v>0</v>
      </c>
      <c r="CQ721" s="1332"/>
      <c r="CR721" s="1332"/>
      <c r="CS721" s="1332"/>
      <c r="CT721" s="1333"/>
      <c r="CU721" s="1353">
        <f t="shared" si="19"/>
        <v>0</v>
      </c>
      <c r="CV721" s="1353"/>
      <c r="CW721" s="1353"/>
      <c r="CX721" s="1353"/>
      <c r="CY721" s="1353"/>
      <c r="CZ721" s="1353">
        <f t="shared" si="20"/>
        <v>0</v>
      </c>
      <c r="DA721" s="1353"/>
      <c r="DB721" s="1353"/>
      <c r="DC721" s="1353"/>
      <c r="DD721" s="1353"/>
      <c r="DE721" s="1353">
        <f t="shared" si="21"/>
        <v>0</v>
      </c>
      <c r="DF721" s="1353"/>
      <c r="DG721" s="1353"/>
      <c r="DH721" s="1353"/>
      <c r="DI721" s="1353"/>
      <c r="DJ721" s="1353">
        <f t="shared" si="22"/>
        <v>0</v>
      </c>
      <c r="DK721" s="1353"/>
      <c r="DL721" s="1353"/>
      <c r="DM721" s="1353"/>
      <c r="DN721" s="1353"/>
      <c r="DO721" s="1353">
        <f t="shared" si="23"/>
        <v>0</v>
      </c>
      <c r="DP721" s="1353"/>
      <c r="DQ721" s="1353"/>
      <c r="DR721" s="1353"/>
      <c r="DS721" s="1353"/>
      <c r="DT721" s="6"/>
      <c r="DU721" s="1367">
        <f t="shared" si="24"/>
        <v>0</v>
      </c>
      <c r="DV721" s="1367"/>
      <c r="DW721" s="1367"/>
      <c r="DX721" s="1367"/>
      <c r="DY721" s="1367"/>
      <c r="DZ721" s="1367">
        <f t="shared" si="25"/>
        <v>0</v>
      </c>
      <c r="EA721" s="1367"/>
      <c r="EB721" s="1367"/>
      <c r="EC721" s="1367"/>
      <c r="ED721" s="1367"/>
      <c r="EE721" s="1367">
        <f t="shared" si="26"/>
        <v>0</v>
      </c>
      <c r="EF721" s="1367"/>
      <c r="EG721" s="1367"/>
      <c r="EH721" s="1367"/>
      <c r="EI721" s="1367"/>
      <c r="EJ721" s="1367">
        <f t="shared" si="27"/>
        <v>0</v>
      </c>
      <c r="EK721" s="1367"/>
      <c r="EL721" s="1367"/>
      <c r="EM721" s="1367"/>
      <c r="EN721" s="1367"/>
      <c r="EO721" s="1367">
        <f t="shared" si="28"/>
        <v>0</v>
      </c>
      <c r="EP721" s="1367"/>
      <c r="EQ721" s="1367"/>
      <c r="ER721" s="1367"/>
      <c r="ES721" s="1367"/>
      <c r="ET721" s="1367">
        <f t="shared" si="29"/>
        <v>0</v>
      </c>
      <c r="EU721" s="1367"/>
      <c r="EV721" s="1367"/>
      <c r="EW721" s="1367"/>
      <c r="EX721" s="1367"/>
      <c r="EZ721" s="1350" t="str">
        <f t="shared" si="30"/>
        <v/>
      </c>
      <c r="FA721" s="1351"/>
      <c r="FB721" s="1351"/>
      <c r="FC721" s="1351"/>
      <c r="FD721" s="1352"/>
      <c r="FE721" s="1350" t="str">
        <f t="shared" si="31"/>
        <v/>
      </c>
      <c r="FF721" s="1351"/>
      <c r="FG721" s="1351"/>
      <c r="FH721" s="1351"/>
      <c r="FI721" s="1352"/>
      <c r="FJ721" s="1350" t="str">
        <f t="shared" si="32"/>
        <v/>
      </c>
      <c r="FK721" s="1351"/>
      <c r="FL721" s="1351"/>
      <c r="FM721" s="1351"/>
      <c r="FN721" s="1352"/>
      <c r="FO721" s="1350" t="str">
        <f t="shared" si="33"/>
        <v/>
      </c>
      <c r="FP721" s="1351"/>
      <c r="FQ721" s="1351"/>
      <c r="FR721" s="1351"/>
      <c r="FS721" s="1352"/>
      <c r="FT721" s="1350" t="str">
        <f t="shared" si="34"/>
        <v/>
      </c>
      <c r="FU721" s="1351"/>
      <c r="FV721" s="1351"/>
      <c r="FW721" s="1351"/>
      <c r="FX721" s="1352"/>
      <c r="FY721" s="1350" t="str">
        <f t="shared" si="35"/>
        <v/>
      </c>
      <c r="FZ721" s="1351"/>
      <c r="GA721" s="1351"/>
      <c r="GB721" s="1351"/>
      <c r="GC721" s="1352"/>
    </row>
    <row r="722" spans="1:185" ht="13.05" customHeight="1">
      <c r="B722" s="1354"/>
      <c r="C722" s="1355"/>
      <c r="D722" s="1355"/>
      <c r="E722" s="1355"/>
      <c r="F722" s="1356"/>
      <c r="G722" s="1363"/>
      <c r="H722" s="1364"/>
      <c r="I722" s="1364"/>
      <c r="J722" s="1365"/>
      <c r="K722" s="1598"/>
      <c r="L722" s="1599"/>
      <c r="M722" s="1599"/>
      <c r="N722" s="1600"/>
      <c r="O722" s="1467"/>
      <c r="P722" s="1468"/>
      <c r="Q722" s="1468"/>
      <c r="R722" s="1468"/>
      <c r="S722" s="1469"/>
      <c r="T722" s="1467"/>
      <c r="U722" s="1468"/>
      <c r="V722" s="1468"/>
      <c r="W722" s="1469"/>
      <c r="X722" s="1357">
        <f t="shared" si="8"/>
        <v>0</v>
      </c>
      <c r="Y722" s="1358"/>
      <c r="Z722" s="1358"/>
      <c r="AA722" s="1358"/>
      <c r="AB722" s="1359"/>
      <c r="AC722" s="1608"/>
      <c r="AD722" s="1609"/>
      <c r="AE722" s="1609"/>
      <c r="AF722" s="1609"/>
      <c r="AG722" s="1610"/>
      <c r="AH722" s="1360" t="str">
        <f t="shared" si="36"/>
        <v/>
      </c>
      <c r="AI722" s="1361"/>
      <c r="AJ722" s="1362"/>
      <c r="AK722" s="1354" t="s">
        <v>591</v>
      </c>
      <c r="AL722" s="1355"/>
      <c r="AM722" s="1355"/>
      <c r="AN722" s="1355"/>
      <c r="AO722" s="1356"/>
      <c r="AP722" s="3"/>
      <c r="AQ722" s="3"/>
      <c r="AR722" s="3"/>
      <c r="AS722" s="3"/>
      <c r="AY722" s="116"/>
      <c r="AZ722" s="118" t="str">
        <f t="shared" si="9"/>
        <v>N/A</v>
      </c>
      <c r="BA722" s="3"/>
      <c r="BB722" s="3"/>
      <c r="BC722" s="3"/>
      <c r="BD722" s="3"/>
      <c r="BE722" s="205"/>
      <c r="BF722" s="295">
        <f t="shared" si="10"/>
        <v>0</v>
      </c>
      <c r="BG722" s="298">
        <f t="shared" si="11"/>
        <v>0</v>
      </c>
      <c r="BH722" s="299" t="str">
        <f t="shared" si="12"/>
        <v/>
      </c>
      <c r="BI722" s="3"/>
      <c r="BJ722" s="3"/>
      <c r="BK722" s="3"/>
      <c r="BL722" s="3"/>
      <c r="BM722" s="3"/>
      <c r="BN722" s="3"/>
      <c r="BS722" s="295">
        <f t="shared" si="13"/>
        <v>0</v>
      </c>
      <c r="BT722" s="298">
        <f t="shared" si="14"/>
        <v>0</v>
      </c>
      <c r="BU722" s="299" t="str">
        <f t="shared" si="15"/>
        <v/>
      </c>
      <c r="CC722" s="3"/>
      <c r="CD722" s="3"/>
      <c r="CE722" s="3"/>
      <c r="CF722" s="3"/>
      <c r="CG722" s="1350">
        <f t="shared" si="37"/>
        <v>0</v>
      </c>
      <c r="CH722" s="1352"/>
      <c r="CI722" s="1334">
        <f t="shared" si="38"/>
        <v>0</v>
      </c>
      <c r="CJ722" s="1336"/>
      <c r="CK722" s="1350">
        <f t="shared" si="16"/>
        <v>0</v>
      </c>
      <c r="CL722" s="1352"/>
      <c r="CM722" s="1334">
        <f t="shared" si="17"/>
        <v>0</v>
      </c>
      <c r="CN722" s="1336"/>
      <c r="CO722" s="3"/>
      <c r="CP722" s="1331">
        <f t="shared" si="18"/>
        <v>0</v>
      </c>
      <c r="CQ722" s="1332"/>
      <c r="CR722" s="1332"/>
      <c r="CS722" s="1332"/>
      <c r="CT722" s="1333"/>
      <c r="CU722" s="1353">
        <f t="shared" si="19"/>
        <v>0</v>
      </c>
      <c r="CV722" s="1353"/>
      <c r="CW722" s="1353"/>
      <c r="CX722" s="1353"/>
      <c r="CY722" s="1353"/>
      <c r="CZ722" s="1353">
        <f t="shared" si="20"/>
        <v>0</v>
      </c>
      <c r="DA722" s="1353"/>
      <c r="DB722" s="1353"/>
      <c r="DC722" s="1353"/>
      <c r="DD722" s="1353"/>
      <c r="DE722" s="1353">
        <f t="shared" si="21"/>
        <v>0</v>
      </c>
      <c r="DF722" s="1353"/>
      <c r="DG722" s="1353"/>
      <c r="DH722" s="1353"/>
      <c r="DI722" s="1353"/>
      <c r="DJ722" s="1353">
        <f t="shared" si="22"/>
        <v>0</v>
      </c>
      <c r="DK722" s="1353"/>
      <c r="DL722" s="1353"/>
      <c r="DM722" s="1353"/>
      <c r="DN722" s="1353"/>
      <c r="DO722" s="1353">
        <f t="shared" si="23"/>
        <v>0</v>
      </c>
      <c r="DP722" s="1353"/>
      <c r="DQ722" s="1353"/>
      <c r="DR722" s="1353"/>
      <c r="DS722" s="1353"/>
      <c r="DT722" s="6"/>
      <c r="DU722" s="1367">
        <f t="shared" si="24"/>
        <v>0</v>
      </c>
      <c r="DV722" s="1367"/>
      <c r="DW722" s="1367"/>
      <c r="DX722" s="1367"/>
      <c r="DY722" s="1367"/>
      <c r="DZ722" s="1367">
        <f t="shared" si="25"/>
        <v>0</v>
      </c>
      <c r="EA722" s="1367"/>
      <c r="EB722" s="1367"/>
      <c r="EC722" s="1367"/>
      <c r="ED722" s="1367"/>
      <c r="EE722" s="1367">
        <f t="shared" si="26"/>
        <v>0</v>
      </c>
      <c r="EF722" s="1367"/>
      <c r="EG722" s="1367"/>
      <c r="EH722" s="1367"/>
      <c r="EI722" s="1367"/>
      <c r="EJ722" s="1367">
        <f t="shared" si="27"/>
        <v>0</v>
      </c>
      <c r="EK722" s="1367"/>
      <c r="EL722" s="1367"/>
      <c r="EM722" s="1367"/>
      <c r="EN722" s="1367"/>
      <c r="EO722" s="1367">
        <f t="shared" si="28"/>
        <v>0</v>
      </c>
      <c r="EP722" s="1367"/>
      <c r="EQ722" s="1367"/>
      <c r="ER722" s="1367"/>
      <c r="ES722" s="1367"/>
      <c r="ET722" s="1367">
        <f t="shared" si="29"/>
        <v>0</v>
      </c>
      <c r="EU722" s="1367"/>
      <c r="EV722" s="1367"/>
      <c r="EW722" s="1367"/>
      <c r="EX722" s="1367"/>
      <c r="EZ722" s="1350" t="str">
        <f t="shared" si="30"/>
        <v/>
      </c>
      <c r="FA722" s="1351"/>
      <c r="FB722" s="1351"/>
      <c r="FC722" s="1351"/>
      <c r="FD722" s="1352"/>
      <c r="FE722" s="1350" t="str">
        <f t="shared" si="31"/>
        <v/>
      </c>
      <c r="FF722" s="1351"/>
      <c r="FG722" s="1351"/>
      <c r="FH722" s="1351"/>
      <c r="FI722" s="1352"/>
      <c r="FJ722" s="1350" t="str">
        <f t="shared" si="32"/>
        <v/>
      </c>
      <c r="FK722" s="1351"/>
      <c r="FL722" s="1351"/>
      <c r="FM722" s="1351"/>
      <c r="FN722" s="1352"/>
      <c r="FO722" s="1350" t="str">
        <f t="shared" si="33"/>
        <v/>
      </c>
      <c r="FP722" s="1351"/>
      <c r="FQ722" s="1351"/>
      <c r="FR722" s="1351"/>
      <c r="FS722" s="1352"/>
      <c r="FT722" s="1350" t="str">
        <f t="shared" si="34"/>
        <v/>
      </c>
      <c r="FU722" s="1351"/>
      <c r="FV722" s="1351"/>
      <c r="FW722" s="1351"/>
      <c r="FX722" s="1352"/>
      <c r="FY722" s="1350" t="str">
        <f t="shared" si="35"/>
        <v/>
      </c>
      <c r="FZ722" s="1351"/>
      <c r="GA722" s="1351"/>
      <c r="GB722" s="1351"/>
      <c r="GC722" s="1352"/>
    </row>
    <row r="723" spans="1:185" ht="13.05" customHeight="1">
      <c r="B723" s="1354"/>
      <c r="C723" s="1355"/>
      <c r="D723" s="1355"/>
      <c r="E723" s="1355"/>
      <c r="F723" s="1356"/>
      <c r="G723" s="1363"/>
      <c r="H723" s="1364"/>
      <c r="I723" s="1364"/>
      <c r="J723" s="1365"/>
      <c r="K723" s="1598"/>
      <c r="L723" s="1599"/>
      <c r="M723" s="1599"/>
      <c r="N723" s="1600"/>
      <c r="O723" s="1467"/>
      <c r="P723" s="1468"/>
      <c r="Q723" s="1468"/>
      <c r="R723" s="1468"/>
      <c r="S723" s="1469"/>
      <c r="T723" s="1467"/>
      <c r="U723" s="1468"/>
      <c r="V723" s="1468"/>
      <c r="W723" s="1469"/>
      <c r="X723" s="1357">
        <f t="shared" si="8"/>
        <v>0</v>
      </c>
      <c r="Y723" s="1358"/>
      <c r="Z723" s="1358"/>
      <c r="AA723" s="1358"/>
      <c r="AB723" s="1359"/>
      <c r="AC723" s="1608"/>
      <c r="AD723" s="1609"/>
      <c r="AE723" s="1609"/>
      <c r="AF723" s="1609"/>
      <c r="AG723" s="1610"/>
      <c r="AH723" s="1360" t="str">
        <f t="shared" si="36"/>
        <v/>
      </c>
      <c r="AI723" s="1361"/>
      <c r="AJ723" s="1362"/>
      <c r="AK723" s="1354" t="s">
        <v>591</v>
      </c>
      <c r="AL723" s="1355"/>
      <c r="AM723" s="1355"/>
      <c r="AN723" s="1355"/>
      <c r="AO723" s="1356"/>
      <c r="AP723" s="3"/>
      <c r="AQ723" s="3"/>
      <c r="AR723" s="3"/>
      <c r="AS723" s="3"/>
      <c r="AY723" s="116"/>
      <c r="AZ723" s="118" t="str">
        <f t="shared" si="9"/>
        <v>N/A</v>
      </c>
      <c r="BA723" s="3"/>
      <c r="BB723" s="3"/>
      <c r="BC723" s="3"/>
      <c r="BD723" s="3"/>
      <c r="BE723" s="205"/>
      <c r="BF723" s="295">
        <f t="shared" si="10"/>
        <v>0</v>
      </c>
      <c r="BG723" s="298">
        <f t="shared" si="11"/>
        <v>0</v>
      </c>
      <c r="BH723" s="299" t="str">
        <f t="shared" si="12"/>
        <v/>
      </c>
      <c r="BI723" s="3"/>
      <c r="BJ723" s="3"/>
      <c r="BK723" s="3"/>
      <c r="BL723" s="3"/>
      <c r="BM723" s="3"/>
      <c r="BN723" s="3"/>
      <c r="BS723" s="295">
        <f t="shared" si="13"/>
        <v>0</v>
      </c>
      <c r="BT723" s="298">
        <f t="shared" si="14"/>
        <v>0</v>
      </c>
      <c r="BU723" s="299" t="str">
        <f t="shared" si="15"/>
        <v/>
      </c>
      <c r="CC723" s="3"/>
      <c r="CD723" s="3"/>
      <c r="CE723" s="3"/>
      <c r="CF723" s="3"/>
      <c r="CG723" s="1350">
        <f t="shared" si="37"/>
        <v>0</v>
      </c>
      <c r="CH723" s="1352"/>
      <c r="CI723" s="1334">
        <f t="shared" si="38"/>
        <v>0</v>
      </c>
      <c r="CJ723" s="1336"/>
      <c r="CK723" s="1350">
        <f t="shared" si="16"/>
        <v>0</v>
      </c>
      <c r="CL723" s="1352"/>
      <c r="CM723" s="1334">
        <f t="shared" si="17"/>
        <v>0</v>
      </c>
      <c r="CN723" s="1336"/>
      <c r="CO723" s="3"/>
      <c r="CP723" s="1331">
        <f t="shared" si="18"/>
        <v>0</v>
      </c>
      <c r="CQ723" s="1332"/>
      <c r="CR723" s="1332"/>
      <c r="CS723" s="1332"/>
      <c r="CT723" s="1333"/>
      <c r="CU723" s="1353">
        <f t="shared" si="19"/>
        <v>0</v>
      </c>
      <c r="CV723" s="1353"/>
      <c r="CW723" s="1353"/>
      <c r="CX723" s="1353"/>
      <c r="CY723" s="1353"/>
      <c r="CZ723" s="1353">
        <f t="shared" si="20"/>
        <v>0</v>
      </c>
      <c r="DA723" s="1353"/>
      <c r="DB723" s="1353"/>
      <c r="DC723" s="1353"/>
      <c r="DD723" s="1353"/>
      <c r="DE723" s="1353">
        <f t="shared" si="21"/>
        <v>0</v>
      </c>
      <c r="DF723" s="1353"/>
      <c r="DG723" s="1353"/>
      <c r="DH723" s="1353"/>
      <c r="DI723" s="1353"/>
      <c r="DJ723" s="1353">
        <f t="shared" si="22"/>
        <v>0</v>
      </c>
      <c r="DK723" s="1353"/>
      <c r="DL723" s="1353"/>
      <c r="DM723" s="1353"/>
      <c r="DN723" s="1353"/>
      <c r="DO723" s="1353">
        <f t="shared" si="23"/>
        <v>0</v>
      </c>
      <c r="DP723" s="1353"/>
      <c r="DQ723" s="1353"/>
      <c r="DR723" s="1353"/>
      <c r="DS723" s="1353"/>
      <c r="DT723" s="6"/>
      <c r="DU723" s="1367">
        <f t="shared" si="24"/>
        <v>0</v>
      </c>
      <c r="DV723" s="1367"/>
      <c r="DW723" s="1367"/>
      <c r="DX723" s="1367"/>
      <c r="DY723" s="1367"/>
      <c r="DZ723" s="1367">
        <f t="shared" si="25"/>
        <v>0</v>
      </c>
      <c r="EA723" s="1367"/>
      <c r="EB723" s="1367"/>
      <c r="EC723" s="1367"/>
      <c r="ED723" s="1367"/>
      <c r="EE723" s="1367">
        <f t="shared" si="26"/>
        <v>0</v>
      </c>
      <c r="EF723" s="1367"/>
      <c r="EG723" s="1367"/>
      <c r="EH723" s="1367"/>
      <c r="EI723" s="1367"/>
      <c r="EJ723" s="1367">
        <f t="shared" si="27"/>
        <v>0</v>
      </c>
      <c r="EK723" s="1367"/>
      <c r="EL723" s="1367"/>
      <c r="EM723" s="1367"/>
      <c r="EN723" s="1367"/>
      <c r="EO723" s="1367">
        <f t="shared" si="28"/>
        <v>0</v>
      </c>
      <c r="EP723" s="1367"/>
      <c r="EQ723" s="1367"/>
      <c r="ER723" s="1367"/>
      <c r="ES723" s="1367"/>
      <c r="ET723" s="1367">
        <f t="shared" si="29"/>
        <v>0</v>
      </c>
      <c r="EU723" s="1367"/>
      <c r="EV723" s="1367"/>
      <c r="EW723" s="1367"/>
      <c r="EX723" s="1367"/>
      <c r="EZ723" s="1350" t="str">
        <f t="shared" si="30"/>
        <v/>
      </c>
      <c r="FA723" s="1351"/>
      <c r="FB723" s="1351"/>
      <c r="FC723" s="1351"/>
      <c r="FD723" s="1352"/>
      <c r="FE723" s="1350" t="str">
        <f t="shared" si="31"/>
        <v/>
      </c>
      <c r="FF723" s="1351"/>
      <c r="FG723" s="1351"/>
      <c r="FH723" s="1351"/>
      <c r="FI723" s="1352"/>
      <c r="FJ723" s="1350" t="str">
        <f t="shared" si="32"/>
        <v/>
      </c>
      <c r="FK723" s="1351"/>
      <c r="FL723" s="1351"/>
      <c r="FM723" s="1351"/>
      <c r="FN723" s="1352"/>
      <c r="FO723" s="1350" t="str">
        <f t="shared" si="33"/>
        <v/>
      </c>
      <c r="FP723" s="1351"/>
      <c r="FQ723" s="1351"/>
      <c r="FR723" s="1351"/>
      <c r="FS723" s="1352"/>
      <c r="FT723" s="1350" t="str">
        <f t="shared" si="34"/>
        <v/>
      </c>
      <c r="FU723" s="1351"/>
      <c r="FV723" s="1351"/>
      <c r="FW723" s="1351"/>
      <c r="FX723" s="1352"/>
      <c r="FY723" s="1350" t="str">
        <f t="shared" si="35"/>
        <v/>
      </c>
      <c r="FZ723" s="1351"/>
      <c r="GA723" s="1351"/>
      <c r="GB723" s="1351"/>
      <c r="GC723" s="1352"/>
    </row>
    <row r="724" spans="1:185" ht="13.05" customHeight="1">
      <c r="B724" s="1354"/>
      <c r="C724" s="1355"/>
      <c r="D724" s="1355"/>
      <c r="E724" s="1355"/>
      <c r="F724" s="1356"/>
      <c r="G724" s="1363"/>
      <c r="H724" s="1364"/>
      <c r="I724" s="1364"/>
      <c r="J724" s="1365"/>
      <c r="K724" s="1598"/>
      <c r="L724" s="1599"/>
      <c r="M724" s="1599"/>
      <c r="N724" s="1600"/>
      <c r="O724" s="1467"/>
      <c r="P724" s="1468"/>
      <c r="Q724" s="1468"/>
      <c r="R724" s="1468"/>
      <c r="S724" s="1469"/>
      <c r="T724" s="1467"/>
      <c r="U724" s="1468"/>
      <c r="V724" s="1468"/>
      <c r="W724" s="1469"/>
      <c r="X724" s="1357">
        <f t="shared" si="8"/>
        <v>0</v>
      </c>
      <c r="Y724" s="1358"/>
      <c r="Z724" s="1358"/>
      <c r="AA724" s="1358"/>
      <c r="AB724" s="1359"/>
      <c r="AC724" s="1608"/>
      <c r="AD724" s="1609"/>
      <c r="AE724" s="1609"/>
      <c r="AF724" s="1609"/>
      <c r="AG724" s="1610"/>
      <c r="AH724" s="1360" t="str">
        <f t="shared" si="36"/>
        <v/>
      </c>
      <c r="AI724" s="1361"/>
      <c r="AJ724" s="1362"/>
      <c r="AK724" s="1354" t="s">
        <v>591</v>
      </c>
      <c r="AL724" s="1355"/>
      <c r="AM724" s="1355"/>
      <c r="AN724" s="1355"/>
      <c r="AO724" s="1356"/>
      <c r="AP724" s="3"/>
      <c r="AQ724" s="3"/>
      <c r="AR724" s="3"/>
      <c r="AS724" s="3"/>
      <c r="AY724" s="116"/>
      <c r="AZ724" s="118" t="str">
        <f t="shared" si="9"/>
        <v>N/A</v>
      </c>
      <c r="BA724" s="3"/>
      <c r="BB724" s="3"/>
      <c r="BC724" s="3"/>
      <c r="BD724" s="3"/>
      <c r="BE724" s="205"/>
      <c r="BF724" s="295">
        <f t="shared" si="10"/>
        <v>0</v>
      </c>
      <c r="BG724" s="298">
        <f t="shared" si="11"/>
        <v>0</v>
      </c>
      <c r="BH724" s="299" t="str">
        <f t="shared" si="12"/>
        <v/>
      </c>
      <c r="BI724" s="3"/>
      <c r="BJ724" s="3"/>
      <c r="BK724" s="3"/>
      <c r="BL724" s="3"/>
      <c r="BM724" s="3"/>
      <c r="BN724" s="3"/>
      <c r="BS724" s="295">
        <f t="shared" si="13"/>
        <v>0</v>
      </c>
      <c r="BT724" s="298">
        <f t="shared" si="14"/>
        <v>0</v>
      </c>
      <c r="BU724" s="299" t="str">
        <f t="shared" si="15"/>
        <v/>
      </c>
      <c r="CC724" s="3"/>
      <c r="CE724" s="3"/>
      <c r="CF724" s="3"/>
      <c r="CG724" s="1350">
        <f t="shared" si="37"/>
        <v>0</v>
      </c>
      <c r="CH724" s="1352"/>
      <c r="CI724" s="1334">
        <f t="shared" si="38"/>
        <v>0</v>
      </c>
      <c r="CJ724" s="1336"/>
      <c r="CK724" s="1350">
        <f t="shared" si="16"/>
        <v>0</v>
      </c>
      <c r="CL724" s="1352"/>
      <c r="CM724" s="1334">
        <f t="shared" si="17"/>
        <v>0</v>
      </c>
      <c r="CN724" s="1336"/>
      <c r="CO724" s="3"/>
      <c r="CP724" s="1331">
        <f t="shared" si="18"/>
        <v>0</v>
      </c>
      <c r="CQ724" s="1332"/>
      <c r="CR724" s="1332"/>
      <c r="CS724" s="1332"/>
      <c r="CT724" s="1333"/>
      <c r="CU724" s="1353">
        <f t="shared" si="19"/>
        <v>0</v>
      </c>
      <c r="CV724" s="1353"/>
      <c r="CW724" s="1353"/>
      <c r="CX724" s="1353"/>
      <c r="CY724" s="1353"/>
      <c r="CZ724" s="1353">
        <f t="shared" si="20"/>
        <v>0</v>
      </c>
      <c r="DA724" s="1353"/>
      <c r="DB724" s="1353"/>
      <c r="DC724" s="1353"/>
      <c r="DD724" s="1353"/>
      <c r="DE724" s="1353">
        <f t="shared" si="21"/>
        <v>0</v>
      </c>
      <c r="DF724" s="1353"/>
      <c r="DG724" s="1353"/>
      <c r="DH724" s="1353"/>
      <c r="DI724" s="1353"/>
      <c r="DJ724" s="1353">
        <f t="shared" si="22"/>
        <v>0</v>
      </c>
      <c r="DK724" s="1353"/>
      <c r="DL724" s="1353"/>
      <c r="DM724" s="1353"/>
      <c r="DN724" s="1353"/>
      <c r="DO724" s="1353">
        <f t="shared" si="23"/>
        <v>0</v>
      </c>
      <c r="DP724" s="1353"/>
      <c r="DQ724" s="1353"/>
      <c r="DR724" s="1353"/>
      <c r="DS724" s="1353"/>
      <c r="DT724" s="6"/>
      <c r="DU724" s="1367">
        <f t="shared" si="24"/>
        <v>0</v>
      </c>
      <c r="DV724" s="1367"/>
      <c r="DW724" s="1367"/>
      <c r="DX724" s="1367"/>
      <c r="DY724" s="1367"/>
      <c r="DZ724" s="1367">
        <f t="shared" si="25"/>
        <v>0</v>
      </c>
      <c r="EA724" s="1367"/>
      <c r="EB724" s="1367"/>
      <c r="EC724" s="1367"/>
      <c r="ED724" s="1367"/>
      <c r="EE724" s="1367">
        <f t="shared" si="26"/>
        <v>0</v>
      </c>
      <c r="EF724" s="1367"/>
      <c r="EG724" s="1367"/>
      <c r="EH724" s="1367"/>
      <c r="EI724" s="1367"/>
      <c r="EJ724" s="1367">
        <f t="shared" si="27"/>
        <v>0</v>
      </c>
      <c r="EK724" s="1367"/>
      <c r="EL724" s="1367"/>
      <c r="EM724" s="1367"/>
      <c r="EN724" s="1367"/>
      <c r="EO724" s="1367">
        <f t="shared" si="28"/>
        <v>0</v>
      </c>
      <c r="EP724" s="1367"/>
      <c r="EQ724" s="1367"/>
      <c r="ER724" s="1367"/>
      <c r="ES724" s="1367"/>
      <c r="ET724" s="1367">
        <f t="shared" si="29"/>
        <v>0</v>
      </c>
      <c r="EU724" s="1367"/>
      <c r="EV724" s="1367"/>
      <c r="EW724" s="1367"/>
      <c r="EX724" s="1367"/>
      <c r="EZ724" s="1350" t="str">
        <f t="shared" si="30"/>
        <v/>
      </c>
      <c r="FA724" s="1351"/>
      <c r="FB724" s="1351"/>
      <c r="FC724" s="1351"/>
      <c r="FD724" s="1352"/>
      <c r="FE724" s="1350" t="str">
        <f t="shared" si="31"/>
        <v/>
      </c>
      <c r="FF724" s="1351"/>
      <c r="FG724" s="1351"/>
      <c r="FH724" s="1351"/>
      <c r="FI724" s="1352"/>
      <c r="FJ724" s="1350" t="str">
        <f t="shared" si="32"/>
        <v/>
      </c>
      <c r="FK724" s="1351"/>
      <c r="FL724" s="1351"/>
      <c r="FM724" s="1351"/>
      <c r="FN724" s="1352"/>
      <c r="FO724" s="1350" t="str">
        <f t="shared" si="33"/>
        <v/>
      </c>
      <c r="FP724" s="1351"/>
      <c r="FQ724" s="1351"/>
      <c r="FR724" s="1351"/>
      <c r="FS724" s="1352"/>
      <c r="FT724" s="1350" t="str">
        <f t="shared" si="34"/>
        <v/>
      </c>
      <c r="FU724" s="1351"/>
      <c r="FV724" s="1351"/>
      <c r="FW724" s="1351"/>
      <c r="FX724" s="1352"/>
      <c r="FY724" s="1350" t="str">
        <f t="shared" si="35"/>
        <v/>
      </c>
      <c r="FZ724" s="1351"/>
      <c r="GA724" s="1351"/>
      <c r="GB724" s="1351"/>
      <c r="GC724" s="1352"/>
    </row>
    <row r="725" spans="1:185" ht="13.05" customHeight="1">
      <c r="B725" s="1354"/>
      <c r="C725" s="1355"/>
      <c r="D725" s="1355"/>
      <c r="E725" s="1355"/>
      <c r="F725" s="1356"/>
      <c r="G725" s="1363"/>
      <c r="H725" s="1364"/>
      <c r="I725" s="1364"/>
      <c r="J725" s="1365"/>
      <c r="K725" s="1598"/>
      <c r="L725" s="1599"/>
      <c r="M725" s="1599"/>
      <c r="N725" s="1600"/>
      <c r="O725" s="1467"/>
      <c r="P725" s="1468"/>
      <c r="Q725" s="1468"/>
      <c r="R725" s="1468"/>
      <c r="S725" s="1469"/>
      <c r="T725" s="1467"/>
      <c r="U725" s="1468"/>
      <c r="V725" s="1468"/>
      <c r="W725" s="1469"/>
      <c r="X725" s="1357">
        <f t="shared" si="8"/>
        <v>0</v>
      </c>
      <c r="Y725" s="1358"/>
      <c r="Z725" s="1358"/>
      <c r="AA725" s="1358"/>
      <c r="AB725" s="1359"/>
      <c r="AC725" s="1608"/>
      <c r="AD725" s="1609"/>
      <c r="AE725" s="1609"/>
      <c r="AF725" s="1609"/>
      <c r="AG725" s="1610"/>
      <c r="AH725" s="1360" t="str">
        <f t="shared" si="36"/>
        <v/>
      </c>
      <c r="AI725" s="1361"/>
      <c r="AJ725" s="1362"/>
      <c r="AK725" s="1354" t="s">
        <v>591</v>
      </c>
      <c r="AL725" s="1355"/>
      <c r="AM725" s="1355"/>
      <c r="AN725" s="1355"/>
      <c r="AO725" s="1356"/>
      <c r="AP725" s="3"/>
      <c r="AQ725" s="3"/>
      <c r="AR725" s="3"/>
      <c r="AS725" s="3"/>
      <c r="AY725" s="1087"/>
      <c r="AZ725" s="118" t="str">
        <f t="shared" si="9"/>
        <v>N/A</v>
      </c>
      <c r="BA725" s="3"/>
      <c r="BB725" s="3"/>
      <c r="BC725" s="3"/>
      <c r="BD725" s="3"/>
      <c r="BE725" s="205"/>
      <c r="BF725" s="295">
        <f t="shared" si="10"/>
        <v>0</v>
      </c>
      <c r="BG725" s="298">
        <f t="shared" si="11"/>
        <v>0</v>
      </c>
      <c r="BH725" s="299" t="str">
        <f t="shared" si="12"/>
        <v/>
      </c>
      <c r="BI725" s="3"/>
      <c r="BJ725" s="3"/>
      <c r="BK725" s="3"/>
      <c r="BL725" s="3"/>
      <c r="BM725" s="3"/>
      <c r="BN725" s="3"/>
      <c r="BS725" s="295">
        <f t="shared" si="13"/>
        <v>0</v>
      </c>
      <c r="BT725" s="298">
        <f t="shared" si="14"/>
        <v>0</v>
      </c>
      <c r="BU725" s="299" t="str">
        <f t="shared" si="15"/>
        <v/>
      </c>
      <c r="BV725" s="293"/>
      <c r="BW725" s="3"/>
      <c r="BX725" s="3"/>
      <c r="BY725" s="3"/>
      <c r="BZ725" s="3"/>
      <c r="CA725" s="3"/>
      <c r="CB725" s="3"/>
      <c r="CC725" s="3"/>
      <c r="CE725" s="3"/>
      <c r="CF725" s="3"/>
      <c r="CG725" s="1350">
        <f t="shared" si="37"/>
        <v>0</v>
      </c>
      <c r="CH725" s="1352"/>
      <c r="CI725" s="1334">
        <f t="shared" si="38"/>
        <v>0</v>
      </c>
      <c r="CJ725" s="1336"/>
      <c r="CK725" s="1350">
        <f t="shared" si="16"/>
        <v>0</v>
      </c>
      <c r="CL725" s="1352"/>
      <c r="CM725" s="1334">
        <f t="shared" si="17"/>
        <v>0</v>
      </c>
      <c r="CN725" s="1336"/>
      <c r="CO725" s="3"/>
      <c r="CP725" s="1331">
        <f t="shared" si="18"/>
        <v>0</v>
      </c>
      <c r="CQ725" s="1332"/>
      <c r="CR725" s="1332"/>
      <c r="CS725" s="1332"/>
      <c r="CT725" s="1333"/>
      <c r="CU725" s="1353">
        <f t="shared" si="19"/>
        <v>0</v>
      </c>
      <c r="CV725" s="1353"/>
      <c r="CW725" s="1353"/>
      <c r="CX725" s="1353"/>
      <c r="CY725" s="1353"/>
      <c r="CZ725" s="1353">
        <f t="shared" si="20"/>
        <v>0</v>
      </c>
      <c r="DA725" s="1353"/>
      <c r="DB725" s="1353"/>
      <c r="DC725" s="1353"/>
      <c r="DD725" s="1353"/>
      <c r="DE725" s="1353">
        <f t="shared" si="21"/>
        <v>0</v>
      </c>
      <c r="DF725" s="1353"/>
      <c r="DG725" s="1353"/>
      <c r="DH725" s="1353"/>
      <c r="DI725" s="1353"/>
      <c r="DJ725" s="1353">
        <f t="shared" si="22"/>
        <v>0</v>
      </c>
      <c r="DK725" s="1353"/>
      <c r="DL725" s="1353"/>
      <c r="DM725" s="1353"/>
      <c r="DN725" s="1353"/>
      <c r="DO725" s="1353">
        <f t="shared" si="23"/>
        <v>0</v>
      </c>
      <c r="DP725" s="1353"/>
      <c r="DQ725" s="1353"/>
      <c r="DR725" s="1353"/>
      <c r="DS725" s="1353"/>
      <c r="DT725" s="6"/>
      <c r="DU725" s="1367">
        <f t="shared" si="24"/>
        <v>0</v>
      </c>
      <c r="DV725" s="1367"/>
      <c r="DW725" s="1367"/>
      <c r="DX725" s="1367"/>
      <c r="DY725" s="1367"/>
      <c r="DZ725" s="1367">
        <f t="shared" si="25"/>
        <v>0</v>
      </c>
      <c r="EA725" s="1367"/>
      <c r="EB725" s="1367"/>
      <c r="EC725" s="1367"/>
      <c r="ED725" s="1367"/>
      <c r="EE725" s="1367">
        <f t="shared" si="26"/>
        <v>0</v>
      </c>
      <c r="EF725" s="1367"/>
      <c r="EG725" s="1367"/>
      <c r="EH725" s="1367"/>
      <c r="EI725" s="1367"/>
      <c r="EJ725" s="1367">
        <f t="shared" si="27"/>
        <v>0</v>
      </c>
      <c r="EK725" s="1367"/>
      <c r="EL725" s="1367"/>
      <c r="EM725" s="1367"/>
      <c r="EN725" s="1367"/>
      <c r="EO725" s="1367">
        <f t="shared" si="28"/>
        <v>0</v>
      </c>
      <c r="EP725" s="1367"/>
      <c r="EQ725" s="1367"/>
      <c r="ER725" s="1367"/>
      <c r="ES725" s="1367"/>
      <c r="ET725" s="1367">
        <f t="shared" si="29"/>
        <v>0</v>
      </c>
      <c r="EU725" s="1367"/>
      <c r="EV725" s="1367"/>
      <c r="EW725" s="1367"/>
      <c r="EX725" s="1367"/>
      <c r="EZ725" s="1350" t="str">
        <f t="shared" si="30"/>
        <v/>
      </c>
      <c r="FA725" s="1351"/>
      <c r="FB725" s="1351"/>
      <c r="FC725" s="1351"/>
      <c r="FD725" s="1352"/>
      <c r="FE725" s="1350" t="str">
        <f t="shared" si="31"/>
        <v/>
      </c>
      <c r="FF725" s="1351"/>
      <c r="FG725" s="1351"/>
      <c r="FH725" s="1351"/>
      <c r="FI725" s="1352"/>
      <c r="FJ725" s="1350" t="str">
        <f t="shared" si="32"/>
        <v/>
      </c>
      <c r="FK725" s="1351"/>
      <c r="FL725" s="1351"/>
      <c r="FM725" s="1351"/>
      <c r="FN725" s="1352"/>
      <c r="FO725" s="1350" t="str">
        <f t="shared" si="33"/>
        <v/>
      </c>
      <c r="FP725" s="1351"/>
      <c r="FQ725" s="1351"/>
      <c r="FR725" s="1351"/>
      <c r="FS725" s="1352"/>
      <c r="FT725" s="1350" t="str">
        <f t="shared" si="34"/>
        <v/>
      </c>
      <c r="FU725" s="1351"/>
      <c r="FV725" s="1351"/>
      <c r="FW725" s="1351"/>
      <c r="FX725" s="1352"/>
      <c r="FY725" s="1350" t="str">
        <f t="shared" si="35"/>
        <v/>
      </c>
      <c r="FZ725" s="1351"/>
      <c r="GA725" s="1351"/>
      <c r="GB725" s="1351"/>
      <c r="GC725" s="1352"/>
    </row>
    <row r="726" spans="1:185" ht="13.05" customHeight="1">
      <c r="B726" s="1354"/>
      <c r="C726" s="1355"/>
      <c r="D726" s="1355"/>
      <c r="E726" s="1355"/>
      <c r="F726" s="1356"/>
      <c r="G726" s="1363"/>
      <c r="H726" s="1364"/>
      <c r="I726" s="1364"/>
      <c r="J726" s="1365"/>
      <c r="K726" s="1598"/>
      <c r="L726" s="1599"/>
      <c r="M726" s="1599"/>
      <c r="N726" s="1600"/>
      <c r="O726" s="1467"/>
      <c r="P726" s="1468"/>
      <c r="Q726" s="1468"/>
      <c r="R726" s="1468"/>
      <c r="S726" s="1469"/>
      <c r="T726" s="1467"/>
      <c r="U726" s="1468"/>
      <c r="V726" s="1468"/>
      <c r="W726" s="1469"/>
      <c r="X726" s="1357">
        <f t="shared" si="8"/>
        <v>0</v>
      </c>
      <c r="Y726" s="1358"/>
      <c r="Z726" s="1358"/>
      <c r="AA726" s="1358"/>
      <c r="AB726" s="1359"/>
      <c r="AC726" s="1608"/>
      <c r="AD726" s="1609"/>
      <c r="AE726" s="1609"/>
      <c r="AF726" s="1609"/>
      <c r="AG726" s="1610"/>
      <c r="AH726" s="1360" t="str">
        <f t="shared" si="36"/>
        <v/>
      </c>
      <c r="AI726" s="1361"/>
      <c r="AJ726" s="1362"/>
      <c r="AK726" s="1354" t="s">
        <v>591</v>
      </c>
      <c r="AL726" s="1355"/>
      <c r="AM726" s="1355"/>
      <c r="AN726" s="1355"/>
      <c r="AO726" s="1356"/>
      <c r="AP726" s="3"/>
      <c r="AQ726" s="3"/>
      <c r="AR726" s="3"/>
      <c r="AS726" s="3"/>
      <c r="AY726" s="1087"/>
      <c r="AZ726" s="118" t="str">
        <f t="shared" si="9"/>
        <v>N/A</v>
      </c>
      <c r="BA726" s="3"/>
      <c r="BB726" s="3"/>
      <c r="BC726" s="3"/>
      <c r="BD726" s="3"/>
      <c r="BE726" s="205"/>
      <c r="BF726" s="295">
        <f t="shared" si="10"/>
        <v>0</v>
      </c>
      <c r="BG726" s="298">
        <f t="shared" si="11"/>
        <v>0</v>
      </c>
      <c r="BH726" s="299" t="str">
        <f t="shared" si="12"/>
        <v/>
      </c>
      <c r="BI726" s="3"/>
      <c r="BJ726" s="3"/>
      <c r="BK726" s="3"/>
      <c r="BL726" s="3"/>
      <c r="BM726" s="3"/>
      <c r="BN726" s="3"/>
      <c r="BS726" s="295">
        <f t="shared" si="13"/>
        <v>0</v>
      </c>
      <c r="BT726" s="298">
        <f t="shared" si="14"/>
        <v>0</v>
      </c>
      <c r="BU726" s="299" t="str">
        <f t="shared" si="15"/>
        <v/>
      </c>
      <c r="BV726" s="3"/>
      <c r="BW726" s="3"/>
      <c r="BX726" s="3"/>
      <c r="BY726" s="3"/>
      <c r="BZ726" s="3"/>
      <c r="CA726" s="3"/>
      <c r="CB726" s="3"/>
      <c r="CC726" s="3"/>
      <c r="CE726" s="3"/>
      <c r="CF726" s="3"/>
      <c r="CG726" s="1350">
        <f t="shared" si="37"/>
        <v>0</v>
      </c>
      <c r="CH726" s="1352"/>
      <c r="CI726" s="1334">
        <f t="shared" si="38"/>
        <v>0</v>
      </c>
      <c r="CJ726" s="1336"/>
      <c r="CK726" s="1350">
        <f t="shared" si="16"/>
        <v>0</v>
      </c>
      <c r="CL726" s="1352"/>
      <c r="CM726" s="1334">
        <f t="shared" si="17"/>
        <v>0</v>
      </c>
      <c r="CN726" s="1336"/>
      <c r="CO726" s="3"/>
      <c r="CP726" s="1331">
        <f t="shared" si="18"/>
        <v>0</v>
      </c>
      <c r="CQ726" s="1332"/>
      <c r="CR726" s="1332"/>
      <c r="CS726" s="1332"/>
      <c r="CT726" s="1333"/>
      <c r="CU726" s="1353">
        <f t="shared" si="19"/>
        <v>0</v>
      </c>
      <c r="CV726" s="1353"/>
      <c r="CW726" s="1353"/>
      <c r="CX726" s="1353"/>
      <c r="CY726" s="1353"/>
      <c r="CZ726" s="1353">
        <f t="shared" si="20"/>
        <v>0</v>
      </c>
      <c r="DA726" s="1353"/>
      <c r="DB726" s="1353"/>
      <c r="DC726" s="1353"/>
      <c r="DD726" s="1353"/>
      <c r="DE726" s="1353">
        <f t="shared" si="21"/>
        <v>0</v>
      </c>
      <c r="DF726" s="1353"/>
      <c r="DG726" s="1353"/>
      <c r="DH726" s="1353"/>
      <c r="DI726" s="1353"/>
      <c r="DJ726" s="1353">
        <f t="shared" si="22"/>
        <v>0</v>
      </c>
      <c r="DK726" s="1353"/>
      <c r="DL726" s="1353"/>
      <c r="DM726" s="1353"/>
      <c r="DN726" s="1353"/>
      <c r="DO726" s="1353">
        <f t="shared" si="23"/>
        <v>0</v>
      </c>
      <c r="DP726" s="1353"/>
      <c r="DQ726" s="1353"/>
      <c r="DR726" s="1353"/>
      <c r="DS726" s="1353"/>
      <c r="DT726" s="6"/>
      <c r="DU726" s="1367">
        <f t="shared" si="24"/>
        <v>0</v>
      </c>
      <c r="DV726" s="1367"/>
      <c r="DW726" s="1367"/>
      <c r="DX726" s="1367"/>
      <c r="DY726" s="1367"/>
      <c r="DZ726" s="1367">
        <f t="shared" si="25"/>
        <v>0</v>
      </c>
      <c r="EA726" s="1367"/>
      <c r="EB726" s="1367"/>
      <c r="EC726" s="1367"/>
      <c r="ED726" s="1367"/>
      <c r="EE726" s="1367">
        <f t="shared" si="26"/>
        <v>0</v>
      </c>
      <c r="EF726" s="1367"/>
      <c r="EG726" s="1367"/>
      <c r="EH726" s="1367"/>
      <c r="EI726" s="1367"/>
      <c r="EJ726" s="1367">
        <f t="shared" si="27"/>
        <v>0</v>
      </c>
      <c r="EK726" s="1367"/>
      <c r="EL726" s="1367"/>
      <c r="EM726" s="1367"/>
      <c r="EN726" s="1367"/>
      <c r="EO726" s="1367">
        <f t="shared" si="28"/>
        <v>0</v>
      </c>
      <c r="EP726" s="1367"/>
      <c r="EQ726" s="1367"/>
      <c r="ER726" s="1367"/>
      <c r="ES726" s="1367"/>
      <c r="ET726" s="1367">
        <f t="shared" si="29"/>
        <v>0</v>
      </c>
      <c r="EU726" s="1367"/>
      <c r="EV726" s="1367"/>
      <c r="EW726" s="1367"/>
      <c r="EX726" s="1367"/>
      <c r="EY726" s="4"/>
      <c r="EZ726" s="1350" t="str">
        <f t="shared" si="30"/>
        <v/>
      </c>
      <c r="FA726" s="1351"/>
      <c r="FB726" s="1351"/>
      <c r="FC726" s="1351"/>
      <c r="FD726" s="1352"/>
      <c r="FE726" s="1350" t="str">
        <f t="shared" si="31"/>
        <v/>
      </c>
      <c r="FF726" s="1351"/>
      <c r="FG726" s="1351"/>
      <c r="FH726" s="1351"/>
      <c r="FI726" s="1352"/>
      <c r="FJ726" s="1350" t="str">
        <f t="shared" si="32"/>
        <v/>
      </c>
      <c r="FK726" s="1351"/>
      <c r="FL726" s="1351"/>
      <c r="FM726" s="1351"/>
      <c r="FN726" s="1352"/>
      <c r="FO726" s="1350" t="str">
        <f t="shared" si="33"/>
        <v/>
      </c>
      <c r="FP726" s="1351"/>
      <c r="FQ726" s="1351"/>
      <c r="FR726" s="1351"/>
      <c r="FS726" s="1352"/>
      <c r="FT726" s="1350" t="str">
        <f t="shared" si="34"/>
        <v/>
      </c>
      <c r="FU726" s="1351"/>
      <c r="FV726" s="1351"/>
      <c r="FW726" s="1351"/>
      <c r="FX726" s="1352"/>
      <c r="FY726" s="1350" t="str">
        <f t="shared" si="35"/>
        <v/>
      </c>
      <c r="FZ726" s="1351"/>
      <c r="GA726" s="1351"/>
      <c r="GB726" s="1351"/>
      <c r="GC726" s="1352"/>
    </row>
    <row r="727" spans="1:185" ht="13.05" customHeight="1">
      <c r="A727" s="4"/>
      <c r="B727" s="1354"/>
      <c r="C727" s="1355"/>
      <c r="D727" s="1355"/>
      <c r="E727" s="1355"/>
      <c r="F727" s="1356"/>
      <c r="G727" s="1363"/>
      <c r="H727" s="1364"/>
      <c r="I727" s="1364"/>
      <c r="J727" s="1365"/>
      <c r="K727" s="1598"/>
      <c r="L727" s="1599"/>
      <c r="M727" s="1599"/>
      <c r="N727" s="1600"/>
      <c r="O727" s="1467"/>
      <c r="P727" s="1468"/>
      <c r="Q727" s="1468"/>
      <c r="R727" s="1468"/>
      <c r="S727" s="1469"/>
      <c r="T727" s="1467"/>
      <c r="U727" s="1468"/>
      <c r="V727" s="1468"/>
      <c r="W727" s="1469"/>
      <c r="X727" s="1357">
        <f t="shared" si="8"/>
        <v>0</v>
      </c>
      <c r="Y727" s="1358"/>
      <c r="Z727" s="1358"/>
      <c r="AA727" s="1358"/>
      <c r="AB727" s="1359"/>
      <c r="AC727" s="1608"/>
      <c r="AD727" s="1609"/>
      <c r="AE727" s="1609"/>
      <c r="AF727" s="1609"/>
      <c r="AG727" s="1610"/>
      <c r="AH727" s="1360" t="str">
        <f t="shared" si="36"/>
        <v/>
      </c>
      <c r="AI727" s="1361"/>
      <c r="AJ727" s="1362"/>
      <c r="AK727" s="1354" t="s">
        <v>591</v>
      </c>
      <c r="AL727" s="1355"/>
      <c r="AM727" s="1355"/>
      <c r="AN727" s="1355"/>
      <c r="AO727" s="1356"/>
      <c r="AP727" s="3"/>
      <c r="AQ727" s="3"/>
      <c r="AR727" s="3"/>
      <c r="AS727" s="3"/>
      <c r="AY727" s="1087"/>
      <c r="AZ727" s="118" t="str">
        <f t="shared" si="9"/>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350">
        <f t="shared" si="37"/>
        <v>0</v>
      </c>
      <c r="CH727" s="1352"/>
      <c r="CI727" s="1334">
        <f t="shared" si="38"/>
        <v>0</v>
      </c>
      <c r="CJ727" s="1336"/>
      <c r="CK727" s="1350">
        <f t="shared" si="16"/>
        <v>0</v>
      </c>
      <c r="CL727" s="1352"/>
      <c r="CM727" s="1334">
        <f t="shared" si="17"/>
        <v>0</v>
      </c>
      <c r="CN727" s="1336"/>
      <c r="CO727" s="3"/>
      <c r="CP727" s="1331">
        <f t="shared" si="18"/>
        <v>0</v>
      </c>
      <c r="CQ727" s="1332"/>
      <c r="CR727" s="1332"/>
      <c r="CS727" s="1332"/>
      <c r="CT727" s="1333"/>
      <c r="CU727" s="1353">
        <f t="shared" si="19"/>
        <v>0</v>
      </c>
      <c r="CV727" s="1353"/>
      <c r="CW727" s="1353"/>
      <c r="CX727" s="1353"/>
      <c r="CY727" s="1353"/>
      <c r="CZ727" s="1353">
        <f t="shared" si="20"/>
        <v>0</v>
      </c>
      <c r="DA727" s="1353"/>
      <c r="DB727" s="1353"/>
      <c r="DC727" s="1353"/>
      <c r="DD727" s="1353"/>
      <c r="DE727" s="1353">
        <f t="shared" si="21"/>
        <v>0</v>
      </c>
      <c r="DF727" s="1353"/>
      <c r="DG727" s="1353"/>
      <c r="DH727" s="1353"/>
      <c r="DI727" s="1353"/>
      <c r="DJ727" s="1353">
        <f t="shared" si="22"/>
        <v>0</v>
      </c>
      <c r="DK727" s="1353"/>
      <c r="DL727" s="1353"/>
      <c r="DM727" s="1353"/>
      <c r="DN727" s="1353"/>
      <c r="DO727" s="1353">
        <f t="shared" si="23"/>
        <v>0</v>
      </c>
      <c r="DP727" s="1353"/>
      <c r="DQ727" s="1353"/>
      <c r="DR727" s="1353"/>
      <c r="DS727" s="1353"/>
      <c r="DT727" s="6"/>
      <c r="DU727" s="1367">
        <f t="shared" si="24"/>
        <v>0</v>
      </c>
      <c r="DV727" s="1367"/>
      <c r="DW727" s="1367"/>
      <c r="DX727" s="1367"/>
      <c r="DY727" s="1367"/>
      <c r="DZ727" s="1367">
        <f t="shared" si="25"/>
        <v>0</v>
      </c>
      <c r="EA727" s="1367"/>
      <c r="EB727" s="1367"/>
      <c r="EC727" s="1367"/>
      <c r="ED727" s="1367"/>
      <c r="EE727" s="1367">
        <f t="shared" si="26"/>
        <v>0</v>
      </c>
      <c r="EF727" s="1367"/>
      <c r="EG727" s="1367"/>
      <c r="EH727" s="1367"/>
      <c r="EI727" s="1367"/>
      <c r="EJ727" s="1367">
        <f t="shared" si="27"/>
        <v>0</v>
      </c>
      <c r="EK727" s="1367"/>
      <c r="EL727" s="1367"/>
      <c r="EM727" s="1367"/>
      <c r="EN727" s="1367"/>
      <c r="EO727" s="1367">
        <f t="shared" si="28"/>
        <v>0</v>
      </c>
      <c r="EP727" s="1367"/>
      <c r="EQ727" s="1367"/>
      <c r="ER727" s="1367"/>
      <c r="ES727" s="1367"/>
      <c r="ET727" s="1367">
        <f t="shared" si="29"/>
        <v>0</v>
      </c>
      <c r="EU727" s="1367"/>
      <c r="EV727" s="1367"/>
      <c r="EW727" s="1367"/>
      <c r="EX727" s="1367"/>
      <c r="EY727" s="4"/>
      <c r="EZ727" s="1350" t="str">
        <f t="shared" si="30"/>
        <v/>
      </c>
      <c r="FA727" s="1351"/>
      <c r="FB727" s="1351"/>
      <c r="FC727" s="1351"/>
      <c r="FD727" s="1352"/>
      <c r="FE727" s="1350" t="str">
        <f t="shared" si="31"/>
        <v/>
      </c>
      <c r="FF727" s="1351"/>
      <c r="FG727" s="1351"/>
      <c r="FH727" s="1351"/>
      <c r="FI727" s="1352"/>
      <c r="FJ727" s="1350" t="str">
        <f t="shared" si="32"/>
        <v/>
      </c>
      <c r="FK727" s="1351"/>
      <c r="FL727" s="1351"/>
      <c r="FM727" s="1351"/>
      <c r="FN727" s="1352"/>
      <c r="FO727" s="1350" t="str">
        <f t="shared" si="33"/>
        <v/>
      </c>
      <c r="FP727" s="1351"/>
      <c r="FQ727" s="1351"/>
      <c r="FR727" s="1351"/>
      <c r="FS727" s="1352"/>
      <c r="FT727" s="1350" t="str">
        <f t="shared" si="34"/>
        <v/>
      </c>
      <c r="FU727" s="1351"/>
      <c r="FV727" s="1351"/>
      <c r="FW727" s="1351"/>
      <c r="FX727" s="1352"/>
      <c r="FY727" s="1350" t="str">
        <f t="shared" si="35"/>
        <v/>
      </c>
      <c r="FZ727" s="1351"/>
      <c r="GA727" s="1351"/>
      <c r="GB727" s="1351"/>
      <c r="GC727" s="1352"/>
    </row>
    <row r="728" spans="1:185" ht="13.05" customHeight="1">
      <c r="A728" s="4"/>
      <c r="B728" s="1354"/>
      <c r="C728" s="1355"/>
      <c r="D728" s="1355"/>
      <c r="E728" s="1355"/>
      <c r="F728" s="1356"/>
      <c r="G728" s="1363"/>
      <c r="H728" s="1364"/>
      <c r="I728" s="1364"/>
      <c r="J728" s="1365"/>
      <c r="K728" s="1598"/>
      <c r="L728" s="1599"/>
      <c r="M728" s="1599"/>
      <c r="N728" s="1600"/>
      <c r="O728" s="1467"/>
      <c r="P728" s="1468"/>
      <c r="Q728" s="1468"/>
      <c r="R728" s="1468"/>
      <c r="S728" s="1469"/>
      <c r="T728" s="1467"/>
      <c r="U728" s="1468"/>
      <c r="V728" s="1468"/>
      <c r="W728" s="1469"/>
      <c r="X728" s="1357">
        <f t="shared" si="8"/>
        <v>0</v>
      </c>
      <c r="Y728" s="1358"/>
      <c r="Z728" s="1358"/>
      <c r="AA728" s="1358"/>
      <c r="AB728" s="1359"/>
      <c r="AC728" s="1608"/>
      <c r="AD728" s="1609"/>
      <c r="AE728" s="1609"/>
      <c r="AF728" s="1609"/>
      <c r="AG728" s="1610"/>
      <c r="AH728" s="1360" t="str">
        <f t="shared" si="36"/>
        <v/>
      </c>
      <c r="AI728" s="1361"/>
      <c r="AJ728" s="1362"/>
      <c r="AK728" s="1354" t="s">
        <v>591</v>
      </c>
      <c r="AL728" s="1355"/>
      <c r="AM728" s="1355"/>
      <c r="AN728" s="1355"/>
      <c r="AO728" s="1356"/>
      <c r="AP728" s="3"/>
      <c r="AQ728" s="3"/>
      <c r="AR728" s="3"/>
      <c r="AS728" s="3"/>
      <c r="AY728" s="1087"/>
      <c r="AZ728" s="118" t="str">
        <f t="shared" si="9"/>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350">
        <f t="shared" si="37"/>
        <v>0</v>
      </c>
      <c r="CH728" s="1352"/>
      <c r="CI728" s="1334">
        <f t="shared" si="38"/>
        <v>0</v>
      </c>
      <c r="CJ728" s="1336"/>
      <c r="CK728" s="1350">
        <f t="shared" si="16"/>
        <v>0</v>
      </c>
      <c r="CL728" s="1352"/>
      <c r="CM728" s="1334">
        <f t="shared" si="17"/>
        <v>0</v>
      </c>
      <c r="CN728" s="1336"/>
      <c r="CO728" s="3"/>
      <c r="CP728" s="1331">
        <f t="shared" si="18"/>
        <v>0</v>
      </c>
      <c r="CQ728" s="1332"/>
      <c r="CR728" s="1332"/>
      <c r="CS728" s="1332"/>
      <c r="CT728" s="1333"/>
      <c r="CU728" s="1353">
        <f t="shared" si="19"/>
        <v>0</v>
      </c>
      <c r="CV728" s="1353"/>
      <c r="CW728" s="1353"/>
      <c r="CX728" s="1353"/>
      <c r="CY728" s="1353"/>
      <c r="CZ728" s="1353">
        <f t="shared" si="20"/>
        <v>0</v>
      </c>
      <c r="DA728" s="1353"/>
      <c r="DB728" s="1353"/>
      <c r="DC728" s="1353"/>
      <c r="DD728" s="1353"/>
      <c r="DE728" s="1353">
        <f t="shared" si="21"/>
        <v>0</v>
      </c>
      <c r="DF728" s="1353"/>
      <c r="DG728" s="1353"/>
      <c r="DH728" s="1353"/>
      <c r="DI728" s="1353"/>
      <c r="DJ728" s="1353">
        <f t="shared" si="22"/>
        <v>0</v>
      </c>
      <c r="DK728" s="1353"/>
      <c r="DL728" s="1353"/>
      <c r="DM728" s="1353"/>
      <c r="DN728" s="1353"/>
      <c r="DO728" s="1353">
        <f t="shared" si="23"/>
        <v>0</v>
      </c>
      <c r="DP728" s="1353"/>
      <c r="DQ728" s="1353"/>
      <c r="DR728" s="1353"/>
      <c r="DS728" s="1353"/>
      <c r="DT728" s="6"/>
      <c r="DU728" s="1367">
        <f t="shared" si="24"/>
        <v>0</v>
      </c>
      <c r="DV728" s="1367"/>
      <c r="DW728" s="1367"/>
      <c r="DX728" s="1367"/>
      <c r="DY728" s="1367"/>
      <c r="DZ728" s="1367">
        <f t="shared" si="25"/>
        <v>0</v>
      </c>
      <c r="EA728" s="1367"/>
      <c r="EB728" s="1367"/>
      <c r="EC728" s="1367"/>
      <c r="ED728" s="1367"/>
      <c r="EE728" s="1367">
        <f t="shared" si="26"/>
        <v>0</v>
      </c>
      <c r="EF728" s="1367"/>
      <c r="EG728" s="1367"/>
      <c r="EH728" s="1367"/>
      <c r="EI728" s="1367"/>
      <c r="EJ728" s="1367">
        <f t="shared" si="27"/>
        <v>0</v>
      </c>
      <c r="EK728" s="1367"/>
      <c r="EL728" s="1367"/>
      <c r="EM728" s="1367"/>
      <c r="EN728" s="1367"/>
      <c r="EO728" s="1367">
        <f t="shared" si="28"/>
        <v>0</v>
      </c>
      <c r="EP728" s="1367"/>
      <c r="EQ728" s="1367"/>
      <c r="ER728" s="1367"/>
      <c r="ES728" s="1367"/>
      <c r="ET728" s="1367">
        <f t="shared" si="29"/>
        <v>0</v>
      </c>
      <c r="EU728" s="1367"/>
      <c r="EV728" s="1367"/>
      <c r="EW728" s="1367"/>
      <c r="EX728" s="1367"/>
      <c r="EY728" s="4"/>
      <c r="EZ728" s="1350" t="str">
        <f t="shared" si="30"/>
        <v/>
      </c>
      <c r="FA728" s="1351"/>
      <c r="FB728" s="1351"/>
      <c r="FC728" s="1351"/>
      <c r="FD728" s="1352"/>
      <c r="FE728" s="1350" t="str">
        <f t="shared" si="31"/>
        <v/>
      </c>
      <c r="FF728" s="1351"/>
      <c r="FG728" s="1351"/>
      <c r="FH728" s="1351"/>
      <c r="FI728" s="1352"/>
      <c r="FJ728" s="1350" t="str">
        <f t="shared" si="32"/>
        <v/>
      </c>
      <c r="FK728" s="1351"/>
      <c r="FL728" s="1351"/>
      <c r="FM728" s="1351"/>
      <c r="FN728" s="1352"/>
      <c r="FO728" s="1350" t="str">
        <f t="shared" si="33"/>
        <v/>
      </c>
      <c r="FP728" s="1351"/>
      <c r="FQ728" s="1351"/>
      <c r="FR728" s="1351"/>
      <c r="FS728" s="1352"/>
      <c r="FT728" s="1350" t="str">
        <f t="shared" si="34"/>
        <v/>
      </c>
      <c r="FU728" s="1351"/>
      <c r="FV728" s="1351"/>
      <c r="FW728" s="1351"/>
      <c r="FX728" s="1352"/>
      <c r="FY728" s="1350" t="str">
        <f t="shared" si="35"/>
        <v/>
      </c>
      <c r="FZ728" s="1351"/>
      <c r="GA728" s="1351"/>
      <c r="GB728" s="1351"/>
      <c r="GC728" s="1352"/>
    </row>
    <row r="729" spans="1:185" ht="13.05" customHeight="1">
      <c r="A729" s="4"/>
      <c r="B729" s="1354"/>
      <c r="C729" s="1355"/>
      <c r="D729" s="1355"/>
      <c r="E729" s="1355"/>
      <c r="F729" s="1356"/>
      <c r="G729" s="1363"/>
      <c r="H729" s="1364"/>
      <c r="I729" s="1364"/>
      <c r="J729" s="1365"/>
      <c r="K729" s="1598"/>
      <c r="L729" s="1599"/>
      <c r="M729" s="1599"/>
      <c r="N729" s="1600"/>
      <c r="O729" s="1467"/>
      <c r="P729" s="1468"/>
      <c r="Q729" s="1468"/>
      <c r="R729" s="1468"/>
      <c r="S729" s="1469"/>
      <c r="T729" s="1467"/>
      <c r="U729" s="1468"/>
      <c r="V729" s="1468"/>
      <c r="W729" s="1469"/>
      <c r="X729" s="1357">
        <f t="shared" si="8"/>
        <v>0</v>
      </c>
      <c r="Y729" s="1358"/>
      <c r="Z729" s="1358"/>
      <c r="AA729" s="1358"/>
      <c r="AB729" s="1359"/>
      <c r="AC729" s="1608"/>
      <c r="AD729" s="1609"/>
      <c r="AE729" s="1609"/>
      <c r="AF729" s="1609"/>
      <c r="AG729" s="1610"/>
      <c r="AH729" s="1360" t="str">
        <f t="shared" si="36"/>
        <v/>
      </c>
      <c r="AI729" s="1361"/>
      <c r="AJ729" s="1362"/>
      <c r="AK729" s="1354" t="s">
        <v>591</v>
      </c>
      <c r="AL729" s="1355"/>
      <c r="AM729" s="1355"/>
      <c r="AN729" s="1355"/>
      <c r="AO729" s="1356"/>
      <c r="AP729" s="3"/>
      <c r="AQ729" s="3"/>
      <c r="AR729" s="3"/>
      <c r="AS729" s="3"/>
      <c r="AY729" s="1087"/>
      <c r="AZ729" s="118" t="str">
        <f t="shared" si="9"/>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350">
        <f t="shared" si="37"/>
        <v>0</v>
      </c>
      <c r="CH729" s="1352"/>
      <c r="CI729" s="1334">
        <f t="shared" si="38"/>
        <v>0</v>
      </c>
      <c r="CJ729" s="1336"/>
      <c r="CK729" s="1350">
        <f t="shared" si="16"/>
        <v>0</v>
      </c>
      <c r="CL729" s="1352"/>
      <c r="CM729" s="1334">
        <f t="shared" si="17"/>
        <v>0</v>
      </c>
      <c r="CN729" s="1336"/>
      <c r="CO729" s="3"/>
      <c r="CP729" s="1331">
        <f t="shared" si="18"/>
        <v>0</v>
      </c>
      <c r="CQ729" s="1332"/>
      <c r="CR729" s="1332"/>
      <c r="CS729" s="1332"/>
      <c r="CT729" s="1333"/>
      <c r="CU729" s="1353">
        <f t="shared" si="19"/>
        <v>0</v>
      </c>
      <c r="CV729" s="1353"/>
      <c r="CW729" s="1353"/>
      <c r="CX729" s="1353"/>
      <c r="CY729" s="1353"/>
      <c r="CZ729" s="1353">
        <f t="shared" si="20"/>
        <v>0</v>
      </c>
      <c r="DA729" s="1353"/>
      <c r="DB729" s="1353"/>
      <c r="DC729" s="1353"/>
      <c r="DD729" s="1353"/>
      <c r="DE729" s="1353">
        <f t="shared" si="21"/>
        <v>0</v>
      </c>
      <c r="DF729" s="1353"/>
      <c r="DG729" s="1353"/>
      <c r="DH729" s="1353"/>
      <c r="DI729" s="1353"/>
      <c r="DJ729" s="1353">
        <f t="shared" si="22"/>
        <v>0</v>
      </c>
      <c r="DK729" s="1353"/>
      <c r="DL729" s="1353"/>
      <c r="DM729" s="1353"/>
      <c r="DN729" s="1353"/>
      <c r="DO729" s="1353">
        <f t="shared" si="23"/>
        <v>0</v>
      </c>
      <c r="DP729" s="1353"/>
      <c r="DQ729" s="1353"/>
      <c r="DR729" s="1353"/>
      <c r="DS729" s="1353"/>
      <c r="DT729" s="6"/>
      <c r="DU729" s="1367">
        <f t="shared" si="24"/>
        <v>0</v>
      </c>
      <c r="DV729" s="1367"/>
      <c r="DW729" s="1367"/>
      <c r="DX729" s="1367"/>
      <c r="DY729" s="1367"/>
      <c r="DZ729" s="1367">
        <f t="shared" si="25"/>
        <v>0</v>
      </c>
      <c r="EA729" s="1367"/>
      <c r="EB729" s="1367"/>
      <c r="EC729" s="1367"/>
      <c r="ED729" s="1367"/>
      <c r="EE729" s="1367">
        <f t="shared" si="26"/>
        <v>0</v>
      </c>
      <c r="EF729" s="1367"/>
      <c r="EG729" s="1367"/>
      <c r="EH729" s="1367"/>
      <c r="EI729" s="1367"/>
      <c r="EJ729" s="1367">
        <f t="shared" si="27"/>
        <v>0</v>
      </c>
      <c r="EK729" s="1367"/>
      <c r="EL729" s="1367"/>
      <c r="EM729" s="1367"/>
      <c r="EN729" s="1367"/>
      <c r="EO729" s="1367">
        <f t="shared" si="28"/>
        <v>0</v>
      </c>
      <c r="EP729" s="1367"/>
      <c r="EQ729" s="1367"/>
      <c r="ER729" s="1367"/>
      <c r="ES729" s="1367"/>
      <c r="ET729" s="1367">
        <f t="shared" si="29"/>
        <v>0</v>
      </c>
      <c r="EU729" s="1367"/>
      <c r="EV729" s="1367"/>
      <c r="EW729" s="1367"/>
      <c r="EX729" s="1367"/>
      <c r="EZ729" s="1350" t="str">
        <f t="shared" si="30"/>
        <v/>
      </c>
      <c r="FA729" s="1351"/>
      <c r="FB729" s="1351"/>
      <c r="FC729" s="1351"/>
      <c r="FD729" s="1352"/>
      <c r="FE729" s="1350" t="str">
        <f t="shared" si="31"/>
        <v/>
      </c>
      <c r="FF729" s="1351"/>
      <c r="FG729" s="1351"/>
      <c r="FH729" s="1351"/>
      <c r="FI729" s="1352"/>
      <c r="FJ729" s="1350" t="str">
        <f t="shared" si="32"/>
        <v/>
      </c>
      <c r="FK729" s="1351"/>
      <c r="FL729" s="1351"/>
      <c r="FM729" s="1351"/>
      <c r="FN729" s="1352"/>
      <c r="FO729" s="1350" t="str">
        <f t="shared" si="33"/>
        <v/>
      </c>
      <c r="FP729" s="1351"/>
      <c r="FQ729" s="1351"/>
      <c r="FR729" s="1351"/>
      <c r="FS729" s="1352"/>
      <c r="FT729" s="1350" t="str">
        <f t="shared" si="34"/>
        <v/>
      </c>
      <c r="FU729" s="1351"/>
      <c r="FV729" s="1351"/>
      <c r="FW729" s="1351"/>
      <c r="FX729" s="1352"/>
      <c r="FY729" s="1350" t="str">
        <f t="shared" si="35"/>
        <v/>
      </c>
      <c r="FZ729" s="1351"/>
      <c r="GA729" s="1351"/>
      <c r="GB729" s="1351"/>
      <c r="GC729" s="1352"/>
    </row>
    <row r="730" spans="1:185" ht="13.05" customHeight="1">
      <c r="B730" s="1354"/>
      <c r="C730" s="1355"/>
      <c r="D730" s="1355"/>
      <c r="E730" s="1355"/>
      <c r="F730" s="1356"/>
      <c r="G730" s="1363"/>
      <c r="H730" s="1364"/>
      <c r="I730" s="1364"/>
      <c r="J730" s="1365"/>
      <c r="K730" s="1598"/>
      <c r="L730" s="1599"/>
      <c r="M730" s="1599"/>
      <c r="N730" s="1600"/>
      <c r="O730" s="1467"/>
      <c r="P730" s="1468"/>
      <c r="Q730" s="1468"/>
      <c r="R730" s="1468"/>
      <c r="S730" s="1469"/>
      <c r="T730" s="1467"/>
      <c r="U730" s="1468"/>
      <c r="V730" s="1468"/>
      <c r="W730" s="1469"/>
      <c r="X730" s="1357">
        <f t="shared" si="8"/>
        <v>0</v>
      </c>
      <c r="Y730" s="1358"/>
      <c r="Z730" s="1358"/>
      <c r="AA730" s="1358"/>
      <c r="AB730" s="1359"/>
      <c r="AC730" s="1608"/>
      <c r="AD730" s="1609"/>
      <c r="AE730" s="1609"/>
      <c r="AF730" s="1609"/>
      <c r="AG730" s="1610"/>
      <c r="AH730" s="1360" t="str">
        <f t="shared" si="36"/>
        <v/>
      </c>
      <c r="AI730" s="1361"/>
      <c r="AJ730" s="1362"/>
      <c r="AK730" s="1354" t="s">
        <v>591</v>
      </c>
      <c r="AL730" s="1355"/>
      <c r="AM730" s="1355"/>
      <c r="AN730" s="1355"/>
      <c r="AO730" s="1356"/>
      <c r="AP730" s="3"/>
      <c r="AQ730" s="3"/>
      <c r="AR730" s="3"/>
      <c r="AS730" s="3"/>
      <c r="AY730" s="1087"/>
      <c r="AZ730" s="118" t="str">
        <f t="shared" si="9"/>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350">
        <f t="shared" si="37"/>
        <v>0</v>
      </c>
      <c r="CH730" s="1352"/>
      <c r="CI730" s="1334">
        <f t="shared" si="38"/>
        <v>0</v>
      </c>
      <c r="CJ730" s="1336"/>
      <c r="CK730" s="1350">
        <f t="shared" si="16"/>
        <v>0</v>
      </c>
      <c r="CL730" s="1352"/>
      <c r="CM730" s="1334">
        <f t="shared" si="17"/>
        <v>0</v>
      </c>
      <c r="CN730" s="1336"/>
      <c r="CO730" s="3"/>
      <c r="CP730" s="1331">
        <f t="shared" si="18"/>
        <v>0</v>
      </c>
      <c r="CQ730" s="1332"/>
      <c r="CR730" s="1332"/>
      <c r="CS730" s="1332"/>
      <c r="CT730" s="1333"/>
      <c r="CU730" s="1353">
        <f t="shared" si="19"/>
        <v>0</v>
      </c>
      <c r="CV730" s="1353"/>
      <c r="CW730" s="1353"/>
      <c r="CX730" s="1353"/>
      <c r="CY730" s="1353"/>
      <c r="CZ730" s="1353">
        <f t="shared" si="20"/>
        <v>0</v>
      </c>
      <c r="DA730" s="1353"/>
      <c r="DB730" s="1353"/>
      <c r="DC730" s="1353"/>
      <c r="DD730" s="1353"/>
      <c r="DE730" s="1353">
        <f t="shared" si="21"/>
        <v>0</v>
      </c>
      <c r="DF730" s="1353"/>
      <c r="DG730" s="1353"/>
      <c r="DH730" s="1353"/>
      <c r="DI730" s="1353"/>
      <c r="DJ730" s="1353">
        <f t="shared" si="22"/>
        <v>0</v>
      </c>
      <c r="DK730" s="1353"/>
      <c r="DL730" s="1353"/>
      <c r="DM730" s="1353"/>
      <c r="DN730" s="1353"/>
      <c r="DO730" s="1353">
        <f t="shared" si="23"/>
        <v>0</v>
      </c>
      <c r="DP730" s="1353"/>
      <c r="DQ730" s="1353"/>
      <c r="DR730" s="1353"/>
      <c r="DS730" s="1353"/>
      <c r="DT730" s="6"/>
      <c r="DU730" s="1367">
        <f t="shared" si="24"/>
        <v>0</v>
      </c>
      <c r="DV730" s="1367"/>
      <c r="DW730" s="1367"/>
      <c r="DX730" s="1367"/>
      <c r="DY730" s="1367"/>
      <c r="DZ730" s="1367">
        <f t="shared" si="25"/>
        <v>0</v>
      </c>
      <c r="EA730" s="1367"/>
      <c r="EB730" s="1367"/>
      <c r="EC730" s="1367"/>
      <c r="ED730" s="1367"/>
      <c r="EE730" s="1367">
        <f t="shared" si="26"/>
        <v>0</v>
      </c>
      <c r="EF730" s="1367"/>
      <c r="EG730" s="1367"/>
      <c r="EH730" s="1367"/>
      <c r="EI730" s="1367"/>
      <c r="EJ730" s="1367">
        <f t="shared" si="27"/>
        <v>0</v>
      </c>
      <c r="EK730" s="1367"/>
      <c r="EL730" s="1367"/>
      <c r="EM730" s="1367"/>
      <c r="EN730" s="1367"/>
      <c r="EO730" s="1367">
        <f t="shared" si="28"/>
        <v>0</v>
      </c>
      <c r="EP730" s="1367"/>
      <c r="EQ730" s="1367"/>
      <c r="ER730" s="1367"/>
      <c r="ES730" s="1367"/>
      <c r="ET730" s="1367">
        <f t="shared" si="29"/>
        <v>0</v>
      </c>
      <c r="EU730" s="1367"/>
      <c r="EV730" s="1367"/>
      <c r="EW730" s="1367"/>
      <c r="EX730" s="1367"/>
      <c r="EZ730" s="1350" t="str">
        <f t="shared" si="30"/>
        <v/>
      </c>
      <c r="FA730" s="1351"/>
      <c r="FB730" s="1351"/>
      <c r="FC730" s="1351"/>
      <c r="FD730" s="1352"/>
      <c r="FE730" s="1350" t="str">
        <f t="shared" si="31"/>
        <v/>
      </c>
      <c r="FF730" s="1351"/>
      <c r="FG730" s="1351"/>
      <c r="FH730" s="1351"/>
      <c r="FI730" s="1352"/>
      <c r="FJ730" s="1350" t="str">
        <f t="shared" si="32"/>
        <v/>
      </c>
      <c r="FK730" s="1351"/>
      <c r="FL730" s="1351"/>
      <c r="FM730" s="1351"/>
      <c r="FN730" s="1352"/>
      <c r="FO730" s="1350" t="str">
        <f t="shared" si="33"/>
        <v/>
      </c>
      <c r="FP730" s="1351"/>
      <c r="FQ730" s="1351"/>
      <c r="FR730" s="1351"/>
      <c r="FS730" s="1352"/>
      <c r="FT730" s="1350" t="str">
        <f t="shared" si="34"/>
        <v/>
      </c>
      <c r="FU730" s="1351"/>
      <c r="FV730" s="1351"/>
      <c r="FW730" s="1351"/>
      <c r="FX730" s="1352"/>
      <c r="FY730" s="1350" t="str">
        <f t="shared" si="35"/>
        <v/>
      </c>
      <c r="FZ730" s="1351"/>
      <c r="GA730" s="1351"/>
      <c r="GB730" s="1351"/>
      <c r="GC730" s="1352"/>
    </row>
    <row r="731" spans="1:185" ht="13.05" customHeight="1">
      <c r="B731" s="1354"/>
      <c r="C731" s="1355"/>
      <c r="D731" s="1355"/>
      <c r="E731" s="1355"/>
      <c r="F731" s="1356"/>
      <c r="G731" s="1363"/>
      <c r="H731" s="1364"/>
      <c r="I731" s="1364"/>
      <c r="J731" s="1365"/>
      <c r="K731" s="1598"/>
      <c r="L731" s="1599"/>
      <c r="M731" s="1599"/>
      <c r="N731" s="1600"/>
      <c r="O731" s="1467"/>
      <c r="P731" s="1468"/>
      <c r="Q731" s="1468"/>
      <c r="R731" s="1468"/>
      <c r="S731" s="1469"/>
      <c r="T731" s="1467"/>
      <c r="U731" s="1468"/>
      <c r="V731" s="1468"/>
      <c r="W731" s="1469"/>
      <c r="X731" s="1357">
        <f t="shared" si="8"/>
        <v>0</v>
      </c>
      <c r="Y731" s="1358"/>
      <c r="Z731" s="1358"/>
      <c r="AA731" s="1358"/>
      <c r="AB731" s="1359"/>
      <c r="AC731" s="1608"/>
      <c r="AD731" s="1609"/>
      <c r="AE731" s="1609"/>
      <c r="AF731" s="1609"/>
      <c r="AG731" s="1610"/>
      <c r="AH731" s="1360" t="str">
        <f t="shared" si="36"/>
        <v/>
      </c>
      <c r="AI731" s="1361"/>
      <c r="AJ731" s="1362"/>
      <c r="AK731" s="1354" t="s">
        <v>591</v>
      </c>
      <c r="AL731" s="1355"/>
      <c r="AM731" s="1355"/>
      <c r="AN731" s="1355"/>
      <c r="AO731" s="1356"/>
      <c r="AP731" s="3"/>
      <c r="AQ731" s="3"/>
      <c r="AR731" s="3"/>
      <c r="AS731" s="3"/>
      <c r="AY731" s="1087"/>
      <c r="AZ731" s="118" t="str">
        <f t="shared" si="9"/>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350">
        <f t="shared" si="37"/>
        <v>0</v>
      </c>
      <c r="CH731" s="1352"/>
      <c r="CI731" s="1334">
        <f t="shared" si="38"/>
        <v>0</v>
      </c>
      <c r="CJ731" s="1336"/>
      <c r="CK731" s="1350">
        <f t="shared" si="16"/>
        <v>0</v>
      </c>
      <c r="CL731" s="1352"/>
      <c r="CM731" s="1334">
        <f t="shared" si="17"/>
        <v>0</v>
      </c>
      <c r="CN731" s="1336"/>
      <c r="CO731" s="3"/>
      <c r="CP731" s="1331">
        <f t="shared" si="18"/>
        <v>0</v>
      </c>
      <c r="CQ731" s="1332"/>
      <c r="CR731" s="1332"/>
      <c r="CS731" s="1332"/>
      <c r="CT731" s="1333"/>
      <c r="CU731" s="1353">
        <f t="shared" si="19"/>
        <v>0</v>
      </c>
      <c r="CV731" s="1353"/>
      <c r="CW731" s="1353"/>
      <c r="CX731" s="1353"/>
      <c r="CY731" s="1353"/>
      <c r="CZ731" s="1353">
        <f t="shared" si="20"/>
        <v>0</v>
      </c>
      <c r="DA731" s="1353"/>
      <c r="DB731" s="1353"/>
      <c r="DC731" s="1353"/>
      <c r="DD731" s="1353"/>
      <c r="DE731" s="1353">
        <f t="shared" si="21"/>
        <v>0</v>
      </c>
      <c r="DF731" s="1353"/>
      <c r="DG731" s="1353"/>
      <c r="DH731" s="1353"/>
      <c r="DI731" s="1353"/>
      <c r="DJ731" s="1353">
        <f t="shared" si="22"/>
        <v>0</v>
      </c>
      <c r="DK731" s="1353"/>
      <c r="DL731" s="1353"/>
      <c r="DM731" s="1353"/>
      <c r="DN731" s="1353"/>
      <c r="DO731" s="1353">
        <f t="shared" si="23"/>
        <v>0</v>
      </c>
      <c r="DP731" s="1353"/>
      <c r="DQ731" s="1353"/>
      <c r="DR731" s="1353"/>
      <c r="DS731" s="1353"/>
      <c r="DT731" s="6"/>
      <c r="DU731" s="1367">
        <f t="shared" si="24"/>
        <v>0</v>
      </c>
      <c r="DV731" s="1367"/>
      <c r="DW731" s="1367"/>
      <c r="DX731" s="1367"/>
      <c r="DY731" s="1367"/>
      <c r="DZ731" s="1367">
        <f t="shared" si="25"/>
        <v>0</v>
      </c>
      <c r="EA731" s="1367"/>
      <c r="EB731" s="1367"/>
      <c r="EC731" s="1367"/>
      <c r="ED731" s="1367"/>
      <c r="EE731" s="1367">
        <f t="shared" si="26"/>
        <v>0</v>
      </c>
      <c r="EF731" s="1367"/>
      <c r="EG731" s="1367"/>
      <c r="EH731" s="1367"/>
      <c r="EI731" s="1367"/>
      <c r="EJ731" s="1367">
        <f t="shared" si="27"/>
        <v>0</v>
      </c>
      <c r="EK731" s="1367"/>
      <c r="EL731" s="1367"/>
      <c r="EM731" s="1367"/>
      <c r="EN731" s="1367"/>
      <c r="EO731" s="1367">
        <f t="shared" si="28"/>
        <v>0</v>
      </c>
      <c r="EP731" s="1367"/>
      <c r="EQ731" s="1367"/>
      <c r="ER731" s="1367"/>
      <c r="ES731" s="1367"/>
      <c r="ET731" s="1367">
        <f t="shared" si="29"/>
        <v>0</v>
      </c>
      <c r="EU731" s="1367"/>
      <c r="EV731" s="1367"/>
      <c r="EW731" s="1367"/>
      <c r="EX731" s="1367"/>
      <c r="EZ731" s="1350" t="str">
        <f t="shared" si="30"/>
        <v/>
      </c>
      <c r="FA731" s="1351"/>
      <c r="FB731" s="1351"/>
      <c r="FC731" s="1351"/>
      <c r="FD731" s="1352"/>
      <c r="FE731" s="1350" t="str">
        <f t="shared" si="31"/>
        <v/>
      </c>
      <c r="FF731" s="1351"/>
      <c r="FG731" s="1351"/>
      <c r="FH731" s="1351"/>
      <c r="FI731" s="1352"/>
      <c r="FJ731" s="1350" t="str">
        <f t="shared" si="32"/>
        <v/>
      </c>
      <c r="FK731" s="1351"/>
      <c r="FL731" s="1351"/>
      <c r="FM731" s="1351"/>
      <c r="FN731" s="1352"/>
      <c r="FO731" s="1350" t="str">
        <f t="shared" si="33"/>
        <v/>
      </c>
      <c r="FP731" s="1351"/>
      <c r="FQ731" s="1351"/>
      <c r="FR731" s="1351"/>
      <c r="FS731" s="1352"/>
      <c r="FT731" s="1350" t="str">
        <f t="shared" si="34"/>
        <v/>
      </c>
      <c r="FU731" s="1351"/>
      <c r="FV731" s="1351"/>
      <c r="FW731" s="1351"/>
      <c r="FX731" s="1352"/>
      <c r="FY731" s="1350" t="str">
        <f t="shared" si="35"/>
        <v/>
      </c>
      <c r="FZ731" s="1351"/>
      <c r="GA731" s="1351"/>
      <c r="GB731" s="1351"/>
      <c r="GC731" s="1352"/>
    </row>
    <row r="732" spans="1:185" ht="13.05" customHeight="1">
      <c r="B732" s="1354"/>
      <c r="C732" s="1355"/>
      <c r="D732" s="1355"/>
      <c r="E732" s="1355"/>
      <c r="F732" s="1356"/>
      <c r="G732" s="1363"/>
      <c r="H732" s="1364"/>
      <c r="I732" s="1364"/>
      <c r="J732" s="1365"/>
      <c r="K732" s="1598"/>
      <c r="L732" s="1599"/>
      <c r="M732" s="1599"/>
      <c r="N732" s="1600"/>
      <c r="O732" s="1467"/>
      <c r="P732" s="1468"/>
      <c r="Q732" s="1468"/>
      <c r="R732" s="1468"/>
      <c r="S732" s="1469"/>
      <c r="T732" s="1467"/>
      <c r="U732" s="1468"/>
      <c r="V732" s="1468"/>
      <c r="W732" s="1469"/>
      <c r="X732" s="1357">
        <f t="shared" si="8"/>
        <v>0</v>
      </c>
      <c r="Y732" s="1358"/>
      <c r="Z732" s="1358"/>
      <c r="AA732" s="1358"/>
      <c r="AB732" s="1359"/>
      <c r="AC732" s="1608"/>
      <c r="AD732" s="1609"/>
      <c r="AE732" s="1609"/>
      <c r="AF732" s="1609"/>
      <c r="AG732" s="1610"/>
      <c r="AH732" s="1360" t="str">
        <f t="shared" si="36"/>
        <v/>
      </c>
      <c r="AI732" s="1361"/>
      <c r="AJ732" s="1362"/>
      <c r="AK732" s="1354" t="s">
        <v>591</v>
      </c>
      <c r="AL732" s="1355"/>
      <c r="AM732" s="1355"/>
      <c r="AN732" s="1355"/>
      <c r="AO732" s="1356"/>
      <c r="AP732" s="3"/>
      <c r="AQ732" s="3"/>
      <c r="AR732" s="3"/>
      <c r="AS732" s="3"/>
      <c r="AY732" s="1087"/>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350">
        <f t="shared" si="37"/>
        <v>0</v>
      </c>
      <c r="CH732" s="1352"/>
      <c r="CI732" s="1334">
        <f t="shared" si="38"/>
        <v>0</v>
      </c>
      <c r="CJ732" s="1336"/>
      <c r="CK732" s="1350">
        <f t="shared" si="16"/>
        <v>0</v>
      </c>
      <c r="CL732" s="1352"/>
      <c r="CM732" s="1334">
        <f t="shared" si="17"/>
        <v>0</v>
      </c>
      <c r="CN732" s="1336"/>
      <c r="CO732" s="3"/>
      <c r="CP732" s="1331">
        <f t="shared" si="18"/>
        <v>0</v>
      </c>
      <c r="CQ732" s="1332"/>
      <c r="CR732" s="1332"/>
      <c r="CS732" s="1332"/>
      <c r="CT732" s="1333"/>
      <c r="CU732" s="1353">
        <f t="shared" si="19"/>
        <v>0</v>
      </c>
      <c r="CV732" s="1353"/>
      <c r="CW732" s="1353"/>
      <c r="CX732" s="1353"/>
      <c r="CY732" s="1353"/>
      <c r="CZ732" s="1353">
        <f t="shared" si="20"/>
        <v>0</v>
      </c>
      <c r="DA732" s="1353"/>
      <c r="DB732" s="1353"/>
      <c r="DC732" s="1353"/>
      <c r="DD732" s="1353"/>
      <c r="DE732" s="1353">
        <f t="shared" si="21"/>
        <v>0</v>
      </c>
      <c r="DF732" s="1353"/>
      <c r="DG732" s="1353"/>
      <c r="DH732" s="1353"/>
      <c r="DI732" s="1353"/>
      <c r="DJ732" s="1353">
        <f t="shared" si="22"/>
        <v>0</v>
      </c>
      <c r="DK732" s="1353"/>
      <c r="DL732" s="1353"/>
      <c r="DM732" s="1353"/>
      <c r="DN732" s="1353"/>
      <c r="DO732" s="1353">
        <f t="shared" si="23"/>
        <v>0</v>
      </c>
      <c r="DP732" s="1353"/>
      <c r="DQ732" s="1353"/>
      <c r="DR732" s="1353"/>
      <c r="DS732" s="1353"/>
      <c r="DT732" s="6"/>
      <c r="DU732" s="1367">
        <f t="shared" si="24"/>
        <v>0</v>
      </c>
      <c r="DV732" s="1367"/>
      <c r="DW732" s="1367"/>
      <c r="DX732" s="1367"/>
      <c r="DY732" s="1367"/>
      <c r="DZ732" s="1367">
        <f t="shared" si="25"/>
        <v>0</v>
      </c>
      <c r="EA732" s="1367"/>
      <c r="EB732" s="1367"/>
      <c r="EC732" s="1367"/>
      <c r="ED732" s="1367"/>
      <c r="EE732" s="1367">
        <f t="shared" si="26"/>
        <v>0</v>
      </c>
      <c r="EF732" s="1367"/>
      <c r="EG732" s="1367"/>
      <c r="EH732" s="1367"/>
      <c r="EI732" s="1367"/>
      <c r="EJ732" s="1367">
        <f t="shared" si="27"/>
        <v>0</v>
      </c>
      <c r="EK732" s="1367"/>
      <c r="EL732" s="1367"/>
      <c r="EM732" s="1367"/>
      <c r="EN732" s="1367"/>
      <c r="EO732" s="1367">
        <f t="shared" si="28"/>
        <v>0</v>
      </c>
      <c r="EP732" s="1367"/>
      <c r="EQ732" s="1367"/>
      <c r="ER732" s="1367"/>
      <c r="ES732" s="1367"/>
      <c r="ET732" s="1367">
        <f t="shared" si="29"/>
        <v>0</v>
      </c>
      <c r="EU732" s="1367"/>
      <c r="EV732" s="1367"/>
      <c r="EW732" s="1367"/>
      <c r="EX732" s="1367"/>
      <c r="EZ732" s="1350" t="str">
        <f t="shared" si="30"/>
        <v/>
      </c>
      <c r="FA732" s="1351"/>
      <c r="FB732" s="1351"/>
      <c r="FC732" s="1351"/>
      <c r="FD732" s="1352"/>
      <c r="FE732" s="1350" t="str">
        <f t="shared" si="31"/>
        <v/>
      </c>
      <c r="FF732" s="1351"/>
      <c r="FG732" s="1351"/>
      <c r="FH732" s="1351"/>
      <c r="FI732" s="1352"/>
      <c r="FJ732" s="1350" t="str">
        <f t="shared" si="32"/>
        <v/>
      </c>
      <c r="FK732" s="1351"/>
      <c r="FL732" s="1351"/>
      <c r="FM732" s="1351"/>
      <c r="FN732" s="1352"/>
      <c r="FO732" s="1350" t="str">
        <f t="shared" si="33"/>
        <v/>
      </c>
      <c r="FP732" s="1351"/>
      <c r="FQ732" s="1351"/>
      <c r="FR732" s="1351"/>
      <c r="FS732" s="1352"/>
      <c r="FT732" s="1350" t="str">
        <f t="shared" si="34"/>
        <v/>
      </c>
      <c r="FU732" s="1351"/>
      <c r="FV732" s="1351"/>
      <c r="FW732" s="1351"/>
      <c r="FX732" s="1352"/>
      <c r="FY732" s="1350" t="str">
        <f t="shared" si="35"/>
        <v/>
      </c>
      <c r="FZ732" s="1351"/>
      <c r="GA732" s="1351"/>
      <c r="GB732" s="1351"/>
      <c r="GC732" s="1352"/>
    </row>
    <row r="733" spans="1:185" ht="13.05" customHeight="1">
      <c r="B733" s="1354"/>
      <c r="C733" s="1355"/>
      <c r="D733" s="1355"/>
      <c r="E733" s="1355"/>
      <c r="F733" s="1356"/>
      <c r="G733" s="1363"/>
      <c r="H733" s="1364"/>
      <c r="I733" s="1364"/>
      <c r="J733" s="1365"/>
      <c r="K733" s="1598"/>
      <c r="L733" s="1599"/>
      <c r="M733" s="1599"/>
      <c r="N733" s="1600"/>
      <c r="O733" s="1467"/>
      <c r="P733" s="1468"/>
      <c r="Q733" s="1468"/>
      <c r="R733" s="1468"/>
      <c r="S733" s="1469"/>
      <c r="T733" s="1467"/>
      <c r="U733" s="1468"/>
      <c r="V733" s="1468"/>
      <c r="W733" s="1469"/>
      <c r="X733" s="1357">
        <f t="shared" si="8"/>
        <v>0</v>
      </c>
      <c r="Y733" s="1358"/>
      <c r="Z733" s="1358"/>
      <c r="AA733" s="1358"/>
      <c r="AB733" s="1359"/>
      <c r="AC733" s="1608"/>
      <c r="AD733" s="1609"/>
      <c r="AE733" s="1609"/>
      <c r="AF733" s="1609"/>
      <c r="AG733" s="1610"/>
      <c r="AH733" s="1360" t="str">
        <f t="shared" si="36"/>
        <v/>
      </c>
      <c r="AI733" s="1361"/>
      <c r="AJ733" s="1362"/>
      <c r="AK733" s="1354" t="s">
        <v>591</v>
      </c>
      <c r="AL733" s="1355"/>
      <c r="AM733" s="1355"/>
      <c r="AN733" s="1355"/>
      <c r="AO733" s="1356"/>
      <c r="AP733" s="3"/>
      <c r="AQ733" s="3"/>
      <c r="AR733" s="3"/>
      <c r="AS733" s="3"/>
      <c r="AY733" s="1087"/>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350">
        <f t="shared" si="37"/>
        <v>0</v>
      </c>
      <c r="CH733" s="1352"/>
      <c r="CI733" s="1334">
        <f t="shared" si="38"/>
        <v>0</v>
      </c>
      <c r="CJ733" s="1336"/>
      <c r="CK733" s="1350">
        <f t="shared" si="16"/>
        <v>0</v>
      </c>
      <c r="CL733" s="1352"/>
      <c r="CM733" s="1334">
        <f t="shared" si="17"/>
        <v>0</v>
      </c>
      <c r="CN733" s="1336"/>
      <c r="CO733" s="3"/>
      <c r="CP733" s="1331">
        <f t="shared" si="18"/>
        <v>0</v>
      </c>
      <c r="CQ733" s="1332"/>
      <c r="CR733" s="1332"/>
      <c r="CS733" s="1332"/>
      <c r="CT733" s="1333"/>
      <c r="CU733" s="1353">
        <f t="shared" si="19"/>
        <v>0</v>
      </c>
      <c r="CV733" s="1353"/>
      <c r="CW733" s="1353"/>
      <c r="CX733" s="1353"/>
      <c r="CY733" s="1353"/>
      <c r="CZ733" s="1353">
        <f t="shared" si="20"/>
        <v>0</v>
      </c>
      <c r="DA733" s="1353"/>
      <c r="DB733" s="1353"/>
      <c r="DC733" s="1353"/>
      <c r="DD733" s="1353"/>
      <c r="DE733" s="1353">
        <f t="shared" si="21"/>
        <v>0</v>
      </c>
      <c r="DF733" s="1353"/>
      <c r="DG733" s="1353"/>
      <c r="DH733" s="1353"/>
      <c r="DI733" s="1353"/>
      <c r="DJ733" s="1353">
        <f t="shared" si="22"/>
        <v>0</v>
      </c>
      <c r="DK733" s="1353"/>
      <c r="DL733" s="1353"/>
      <c r="DM733" s="1353"/>
      <c r="DN733" s="1353"/>
      <c r="DO733" s="1353">
        <f t="shared" si="23"/>
        <v>0</v>
      </c>
      <c r="DP733" s="1353"/>
      <c r="DQ733" s="1353"/>
      <c r="DR733" s="1353"/>
      <c r="DS733" s="1353"/>
      <c r="DT733" s="6"/>
      <c r="DU733" s="1367">
        <f t="shared" si="24"/>
        <v>0</v>
      </c>
      <c r="DV733" s="1367"/>
      <c r="DW733" s="1367"/>
      <c r="DX733" s="1367"/>
      <c r="DY733" s="1367"/>
      <c r="DZ733" s="1367">
        <f t="shared" si="25"/>
        <v>0</v>
      </c>
      <c r="EA733" s="1367"/>
      <c r="EB733" s="1367"/>
      <c r="EC733" s="1367"/>
      <c r="ED733" s="1367"/>
      <c r="EE733" s="1367">
        <f t="shared" si="26"/>
        <v>0</v>
      </c>
      <c r="EF733" s="1367"/>
      <c r="EG733" s="1367"/>
      <c r="EH733" s="1367"/>
      <c r="EI733" s="1367"/>
      <c r="EJ733" s="1367">
        <f t="shared" si="27"/>
        <v>0</v>
      </c>
      <c r="EK733" s="1367"/>
      <c r="EL733" s="1367"/>
      <c r="EM733" s="1367"/>
      <c r="EN733" s="1367"/>
      <c r="EO733" s="1367">
        <f t="shared" si="28"/>
        <v>0</v>
      </c>
      <c r="EP733" s="1367"/>
      <c r="EQ733" s="1367"/>
      <c r="ER733" s="1367"/>
      <c r="ES733" s="1367"/>
      <c r="ET733" s="1367">
        <f t="shared" si="29"/>
        <v>0</v>
      </c>
      <c r="EU733" s="1367"/>
      <c r="EV733" s="1367"/>
      <c r="EW733" s="1367"/>
      <c r="EX733" s="1367"/>
      <c r="EZ733" s="1350" t="str">
        <f t="shared" si="30"/>
        <v/>
      </c>
      <c r="FA733" s="1351"/>
      <c r="FB733" s="1351"/>
      <c r="FC733" s="1351"/>
      <c r="FD733" s="1352"/>
      <c r="FE733" s="1350" t="str">
        <f t="shared" si="31"/>
        <v/>
      </c>
      <c r="FF733" s="1351"/>
      <c r="FG733" s="1351"/>
      <c r="FH733" s="1351"/>
      <c r="FI733" s="1352"/>
      <c r="FJ733" s="1350" t="str">
        <f t="shared" si="32"/>
        <v/>
      </c>
      <c r="FK733" s="1351"/>
      <c r="FL733" s="1351"/>
      <c r="FM733" s="1351"/>
      <c r="FN733" s="1352"/>
      <c r="FO733" s="1350" t="str">
        <f t="shared" si="33"/>
        <v/>
      </c>
      <c r="FP733" s="1351"/>
      <c r="FQ733" s="1351"/>
      <c r="FR733" s="1351"/>
      <c r="FS733" s="1352"/>
      <c r="FT733" s="1350" t="str">
        <f t="shared" si="34"/>
        <v/>
      </c>
      <c r="FU733" s="1351"/>
      <c r="FV733" s="1351"/>
      <c r="FW733" s="1351"/>
      <c r="FX733" s="1352"/>
      <c r="FY733" s="1350" t="str">
        <f t="shared" si="35"/>
        <v/>
      </c>
      <c r="FZ733" s="1351"/>
      <c r="GA733" s="1351"/>
      <c r="GB733" s="1351"/>
      <c r="GC733" s="1352"/>
    </row>
    <row r="734" spans="1:185" ht="13.05" customHeight="1">
      <c r="B734" s="1354"/>
      <c r="C734" s="1355"/>
      <c r="D734" s="1355"/>
      <c r="E734" s="1355"/>
      <c r="F734" s="1356"/>
      <c r="G734" s="1363"/>
      <c r="H734" s="1364"/>
      <c r="I734" s="1364"/>
      <c r="J734" s="1365"/>
      <c r="K734" s="1598"/>
      <c r="L734" s="1599"/>
      <c r="M734" s="1599"/>
      <c r="N734" s="1600"/>
      <c r="O734" s="1467"/>
      <c r="P734" s="1468"/>
      <c r="Q734" s="1468"/>
      <c r="R734" s="1468"/>
      <c r="S734" s="1469"/>
      <c r="T734" s="1467"/>
      <c r="U734" s="1468"/>
      <c r="V734" s="1468"/>
      <c r="W734" s="1469"/>
      <c r="X734" s="1357">
        <f t="shared" si="8"/>
        <v>0</v>
      </c>
      <c r="Y734" s="1358"/>
      <c r="Z734" s="1358"/>
      <c r="AA734" s="1358"/>
      <c r="AB734" s="1359"/>
      <c r="AC734" s="1608"/>
      <c r="AD734" s="1609"/>
      <c r="AE734" s="1609"/>
      <c r="AF734" s="1609"/>
      <c r="AG734" s="1610"/>
      <c r="AH734" s="1360" t="str">
        <f t="shared" si="36"/>
        <v/>
      </c>
      <c r="AI734" s="1361"/>
      <c r="AJ734" s="1362"/>
      <c r="AK734" s="1354" t="s">
        <v>591</v>
      </c>
      <c r="AL734" s="1355"/>
      <c r="AM734" s="1355"/>
      <c r="AN734" s="1355"/>
      <c r="AO734" s="1356"/>
      <c r="AP734" s="3"/>
      <c r="AQ734" s="3"/>
      <c r="AR734" s="3"/>
      <c r="AS734" s="3"/>
      <c r="AY734" s="1087"/>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50">
        <f t="shared" si="37"/>
        <v>0</v>
      </c>
      <c r="CH734" s="1352"/>
      <c r="CI734" s="1334">
        <f t="shared" si="38"/>
        <v>0</v>
      </c>
      <c r="CJ734" s="1336"/>
      <c r="CK734" s="1350">
        <f t="shared" si="16"/>
        <v>0</v>
      </c>
      <c r="CL734" s="1352"/>
      <c r="CM734" s="1334">
        <f t="shared" si="17"/>
        <v>0</v>
      </c>
      <c r="CN734" s="1336"/>
      <c r="CO734" s="3"/>
      <c r="CP734" s="1331">
        <f t="shared" si="18"/>
        <v>0</v>
      </c>
      <c r="CQ734" s="1332"/>
      <c r="CR734" s="1332"/>
      <c r="CS734" s="1332"/>
      <c r="CT734" s="1333"/>
      <c r="CU734" s="1353">
        <f t="shared" si="19"/>
        <v>0</v>
      </c>
      <c r="CV734" s="1353"/>
      <c r="CW734" s="1353"/>
      <c r="CX734" s="1353"/>
      <c r="CY734" s="1353"/>
      <c r="CZ734" s="1353">
        <f t="shared" si="20"/>
        <v>0</v>
      </c>
      <c r="DA734" s="1353"/>
      <c r="DB734" s="1353"/>
      <c r="DC734" s="1353"/>
      <c r="DD734" s="1353"/>
      <c r="DE734" s="1353">
        <f t="shared" si="21"/>
        <v>0</v>
      </c>
      <c r="DF734" s="1353"/>
      <c r="DG734" s="1353"/>
      <c r="DH734" s="1353"/>
      <c r="DI734" s="1353"/>
      <c r="DJ734" s="1353">
        <f t="shared" si="22"/>
        <v>0</v>
      </c>
      <c r="DK734" s="1353"/>
      <c r="DL734" s="1353"/>
      <c r="DM734" s="1353"/>
      <c r="DN734" s="1353"/>
      <c r="DO734" s="1353">
        <f t="shared" si="23"/>
        <v>0</v>
      </c>
      <c r="DP734" s="1353"/>
      <c r="DQ734" s="1353"/>
      <c r="DR734" s="1353"/>
      <c r="DS734" s="1353"/>
      <c r="DT734" s="6"/>
      <c r="DU734" s="1367">
        <f t="shared" si="24"/>
        <v>0</v>
      </c>
      <c r="DV734" s="1367"/>
      <c r="DW734" s="1367"/>
      <c r="DX734" s="1367"/>
      <c r="DY734" s="1367"/>
      <c r="DZ734" s="1367">
        <f t="shared" si="25"/>
        <v>0</v>
      </c>
      <c r="EA734" s="1367"/>
      <c r="EB734" s="1367"/>
      <c r="EC734" s="1367"/>
      <c r="ED734" s="1367"/>
      <c r="EE734" s="1367">
        <f t="shared" si="26"/>
        <v>0</v>
      </c>
      <c r="EF734" s="1367"/>
      <c r="EG734" s="1367"/>
      <c r="EH734" s="1367"/>
      <c r="EI734" s="1367"/>
      <c r="EJ734" s="1367">
        <f t="shared" si="27"/>
        <v>0</v>
      </c>
      <c r="EK734" s="1367"/>
      <c r="EL734" s="1367"/>
      <c r="EM734" s="1367"/>
      <c r="EN734" s="1367"/>
      <c r="EO734" s="1367">
        <f t="shared" si="28"/>
        <v>0</v>
      </c>
      <c r="EP734" s="1367"/>
      <c r="EQ734" s="1367"/>
      <c r="ER734" s="1367"/>
      <c r="ES734" s="1367"/>
      <c r="ET734" s="1367">
        <f t="shared" si="29"/>
        <v>0</v>
      </c>
      <c r="EU734" s="1367"/>
      <c r="EV734" s="1367"/>
      <c r="EW734" s="1367"/>
      <c r="EX734" s="1367"/>
      <c r="EZ734" s="1350" t="str">
        <f t="shared" si="30"/>
        <v/>
      </c>
      <c r="FA734" s="1351"/>
      <c r="FB734" s="1351"/>
      <c r="FC734" s="1351"/>
      <c r="FD734" s="1352"/>
      <c r="FE734" s="1350" t="str">
        <f t="shared" si="31"/>
        <v/>
      </c>
      <c r="FF734" s="1351"/>
      <c r="FG734" s="1351"/>
      <c r="FH734" s="1351"/>
      <c r="FI734" s="1352"/>
      <c r="FJ734" s="1350" t="str">
        <f t="shared" si="32"/>
        <v/>
      </c>
      <c r="FK734" s="1351"/>
      <c r="FL734" s="1351"/>
      <c r="FM734" s="1351"/>
      <c r="FN734" s="1352"/>
      <c r="FO734" s="1350" t="str">
        <f t="shared" si="33"/>
        <v/>
      </c>
      <c r="FP734" s="1351"/>
      <c r="FQ734" s="1351"/>
      <c r="FR734" s="1351"/>
      <c r="FS734" s="1352"/>
      <c r="FT734" s="1350" t="str">
        <f t="shared" si="34"/>
        <v/>
      </c>
      <c r="FU734" s="1351"/>
      <c r="FV734" s="1351"/>
      <c r="FW734" s="1351"/>
      <c r="FX734" s="1352"/>
      <c r="FY734" s="1350" t="str">
        <f t="shared" si="35"/>
        <v/>
      </c>
      <c r="FZ734" s="1351"/>
      <c r="GA734" s="1351"/>
      <c r="GB734" s="1351"/>
      <c r="GC734" s="1352"/>
    </row>
    <row r="735" spans="1:185" ht="13.05" customHeight="1">
      <c r="B735" s="1354"/>
      <c r="C735" s="1355"/>
      <c r="D735" s="1355"/>
      <c r="E735" s="1355"/>
      <c r="F735" s="1356"/>
      <c r="G735" s="1363"/>
      <c r="H735" s="1364"/>
      <c r="I735" s="1364"/>
      <c r="J735" s="1365"/>
      <c r="K735" s="1598"/>
      <c r="L735" s="1599"/>
      <c r="M735" s="1599"/>
      <c r="N735" s="1600"/>
      <c r="O735" s="1467"/>
      <c r="P735" s="1468"/>
      <c r="Q735" s="1468"/>
      <c r="R735" s="1468"/>
      <c r="S735" s="1469"/>
      <c r="T735" s="1467"/>
      <c r="U735" s="1468"/>
      <c r="V735" s="1468"/>
      <c r="W735" s="1469"/>
      <c r="X735" s="1357">
        <f t="shared" si="8"/>
        <v>0</v>
      </c>
      <c r="Y735" s="1358"/>
      <c r="Z735" s="1358"/>
      <c r="AA735" s="1358"/>
      <c r="AB735" s="1359"/>
      <c r="AC735" s="1608"/>
      <c r="AD735" s="1609"/>
      <c r="AE735" s="1609"/>
      <c r="AF735" s="1609"/>
      <c r="AG735" s="1610"/>
      <c r="AH735" s="1360" t="str">
        <f t="shared" si="36"/>
        <v/>
      </c>
      <c r="AI735" s="1361"/>
      <c r="AJ735" s="1362"/>
      <c r="AK735" s="1354" t="s">
        <v>591</v>
      </c>
      <c r="AL735" s="1355"/>
      <c r="AM735" s="1355"/>
      <c r="AN735" s="1355"/>
      <c r="AO735" s="1356"/>
      <c r="AP735" s="3"/>
      <c r="AQ735" s="3"/>
      <c r="AR735" s="3"/>
      <c r="AS735" s="3"/>
      <c r="AY735" s="1087"/>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50">
        <f t="shared" si="37"/>
        <v>0</v>
      </c>
      <c r="CH735" s="1352"/>
      <c r="CI735" s="1334">
        <f t="shared" si="38"/>
        <v>0</v>
      </c>
      <c r="CJ735" s="1336"/>
      <c r="CK735" s="1350">
        <f t="shared" si="16"/>
        <v>0</v>
      </c>
      <c r="CL735" s="1352"/>
      <c r="CM735" s="1334">
        <f t="shared" si="17"/>
        <v>0</v>
      </c>
      <c r="CN735" s="1336"/>
      <c r="CO735" s="3"/>
      <c r="CP735" s="1331">
        <f t="shared" si="18"/>
        <v>0</v>
      </c>
      <c r="CQ735" s="1332"/>
      <c r="CR735" s="1332"/>
      <c r="CS735" s="1332"/>
      <c r="CT735" s="1333"/>
      <c r="CU735" s="1353">
        <f t="shared" si="19"/>
        <v>0</v>
      </c>
      <c r="CV735" s="1353"/>
      <c r="CW735" s="1353"/>
      <c r="CX735" s="1353"/>
      <c r="CY735" s="1353"/>
      <c r="CZ735" s="1353">
        <f t="shared" si="20"/>
        <v>0</v>
      </c>
      <c r="DA735" s="1353"/>
      <c r="DB735" s="1353"/>
      <c r="DC735" s="1353"/>
      <c r="DD735" s="1353"/>
      <c r="DE735" s="1353">
        <f t="shared" si="21"/>
        <v>0</v>
      </c>
      <c r="DF735" s="1353"/>
      <c r="DG735" s="1353"/>
      <c r="DH735" s="1353"/>
      <c r="DI735" s="1353"/>
      <c r="DJ735" s="1353">
        <f t="shared" si="22"/>
        <v>0</v>
      </c>
      <c r="DK735" s="1353"/>
      <c r="DL735" s="1353"/>
      <c r="DM735" s="1353"/>
      <c r="DN735" s="1353"/>
      <c r="DO735" s="1353">
        <f t="shared" si="23"/>
        <v>0</v>
      </c>
      <c r="DP735" s="1353"/>
      <c r="DQ735" s="1353"/>
      <c r="DR735" s="1353"/>
      <c r="DS735" s="1353"/>
      <c r="DT735" s="6"/>
      <c r="DU735" s="1367">
        <f t="shared" si="24"/>
        <v>0</v>
      </c>
      <c r="DV735" s="1367"/>
      <c r="DW735" s="1367"/>
      <c r="DX735" s="1367"/>
      <c r="DY735" s="1367"/>
      <c r="DZ735" s="1367">
        <f t="shared" si="25"/>
        <v>0</v>
      </c>
      <c r="EA735" s="1367"/>
      <c r="EB735" s="1367"/>
      <c r="EC735" s="1367"/>
      <c r="ED735" s="1367"/>
      <c r="EE735" s="1367">
        <f t="shared" si="26"/>
        <v>0</v>
      </c>
      <c r="EF735" s="1367"/>
      <c r="EG735" s="1367"/>
      <c r="EH735" s="1367"/>
      <c r="EI735" s="1367"/>
      <c r="EJ735" s="1367">
        <f t="shared" si="27"/>
        <v>0</v>
      </c>
      <c r="EK735" s="1367"/>
      <c r="EL735" s="1367"/>
      <c r="EM735" s="1367"/>
      <c r="EN735" s="1367"/>
      <c r="EO735" s="1367">
        <f t="shared" si="28"/>
        <v>0</v>
      </c>
      <c r="EP735" s="1367"/>
      <c r="EQ735" s="1367"/>
      <c r="ER735" s="1367"/>
      <c r="ES735" s="1367"/>
      <c r="ET735" s="1367">
        <f t="shared" si="29"/>
        <v>0</v>
      </c>
      <c r="EU735" s="1367"/>
      <c r="EV735" s="1367"/>
      <c r="EW735" s="1367"/>
      <c r="EX735" s="1367"/>
      <c r="EZ735" s="1350" t="str">
        <f t="shared" si="30"/>
        <v/>
      </c>
      <c r="FA735" s="1351"/>
      <c r="FB735" s="1351"/>
      <c r="FC735" s="1351"/>
      <c r="FD735" s="1352"/>
      <c r="FE735" s="1350" t="str">
        <f t="shared" si="31"/>
        <v/>
      </c>
      <c r="FF735" s="1351"/>
      <c r="FG735" s="1351"/>
      <c r="FH735" s="1351"/>
      <c r="FI735" s="1352"/>
      <c r="FJ735" s="1350" t="str">
        <f t="shared" si="32"/>
        <v/>
      </c>
      <c r="FK735" s="1351"/>
      <c r="FL735" s="1351"/>
      <c r="FM735" s="1351"/>
      <c r="FN735" s="1352"/>
      <c r="FO735" s="1350" t="str">
        <f t="shared" si="33"/>
        <v/>
      </c>
      <c r="FP735" s="1351"/>
      <c r="FQ735" s="1351"/>
      <c r="FR735" s="1351"/>
      <c r="FS735" s="1352"/>
      <c r="FT735" s="1350" t="str">
        <f t="shared" si="34"/>
        <v/>
      </c>
      <c r="FU735" s="1351"/>
      <c r="FV735" s="1351"/>
      <c r="FW735" s="1351"/>
      <c r="FX735" s="1352"/>
      <c r="FY735" s="1350" t="str">
        <f t="shared" si="35"/>
        <v/>
      </c>
      <c r="FZ735" s="1351"/>
      <c r="GA735" s="1351"/>
      <c r="GB735" s="1351"/>
      <c r="GC735" s="1352"/>
    </row>
    <row r="736" spans="1:185" ht="13.05" customHeight="1">
      <c r="B736" s="1354"/>
      <c r="C736" s="1355"/>
      <c r="D736" s="1355"/>
      <c r="E736" s="1355"/>
      <c r="F736" s="1356"/>
      <c r="G736" s="1363"/>
      <c r="H736" s="1364"/>
      <c r="I736" s="1364"/>
      <c r="J736" s="1365"/>
      <c r="K736" s="1598"/>
      <c r="L736" s="1599"/>
      <c r="M736" s="1599"/>
      <c r="N736" s="1600"/>
      <c r="O736" s="1467"/>
      <c r="P736" s="1468"/>
      <c r="Q736" s="1468"/>
      <c r="R736" s="1468"/>
      <c r="S736" s="1469"/>
      <c r="T736" s="1467"/>
      <c r="U736" s="1468"/>
      <c r="V736" s="1468"/>
      <c r="W736" s="1469"/>
      <c r="X736" s="1357">
        <f t="shared" si="8"/>
        <v>0</v>
      </c>
      <c r="Y736" s="1358"/>
      <c r="Z736" s="1358"/>
      <c r="AA736" s="1358"/>
      <c r="AB736" s="1359"/>
      <c r="AC736" s="1608"/>
      <c r="AD736" s="1609"/>
      <c r="AE736" s="1609"/>
      <c r="AF736" s="1609"/>
      <c r="AG736" s="1610"/>
      <c r="AH736" s="1360" t="str">
        <f t="shared" si="36"/>
        <v/>
      </c>
      <c r="AI736" s="1361"/>
      <c r="AJ736" s="1362"/>
      <c r="AK736" s="1354" t="s">
        <v>591</v>
      </c>
      <c r="AL736" s="1355"/>
      <c r="AM736" s="1355"/>
      <c r="AN736" s="1355"/>
      <c r="AO736" s="1356"/>
      <c r="AP736" s="3"/>
      <c r="AQ736" s="3"/>
      <c r="AR736" s="3"/>
      <c r="AS736" s="3"/>
      <c r="AY736" s="1087"/>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50">
        <f t="shared" si="37"/>
        <v>0</v>
      </c>
      <c r="CH736" s="1352"/>
      <c r="CI736" s="1334">
        <f t="shared" si="38"/>
        <v>0</v>
      </c>
      <c r="CJ736" s="1336"/>
      <c r="CK736" s="1350">
        <f t="shared" si="16"/>
        <v>0</v>
      </c>
      <c r="CL736" s="1352"/>
      <c r="CM736" s="1334">
        <f t="shared" si="17"/>
        <v>0</v>
      </c>
      <c r="CN736" s="1336"/>
      <c r="CO736" s="3"/>
      <c r="CP736" s="1331">
        <f t="shared" si="18"/>
        <v>0</v>
      </c>
      <c r="CQ736" s="1332"/>
      <c r="CR736" s="1332"/>
      <c r="CS736" s="1332"/>
      <c r="CT736" s="1333"/>
      <c r="CU736" s="1353">
        <f t="shared" si="19"/>
        <v>0</v>
      </c>
      <c r="CV736" s="1353"/>
      <c r="CW736" s="1353"/>
      <c r="CX736" s="1353"/>
      <c r="CY736" s="1353"/>
      <c r="CZ736" s="1353">
        <f t="shared" si="20"/>
        <v>0</v>
      </c>
      <c r="DA736" s="1353"/>
      <c r="DB736" s="1353"/>
      <c r="DC736" s="1353"/>
      <c r="DD736" s="1353"/>
      <c r="DE736" s="1353">
        <f t="shared" si="21"/>
        <v>0</v>
      </c>
      <c r="DF736" s="1353"/>
      <c r="DG736" s="1353"/>
      <c r="DH736" s="1353"/>
      <c r="DI736" s="1353"/>
      <c r="DJ736" s="1353">
        <f t="shared" si="22"/>
        <v>0</v>
      </c>
      <c r="DK736" s="1353"/>
      <c r="DL736" s="1353"/>
      <c r="DM736" s="1353"/>
      <c r="DN736" s="1353"/>
      <c r="DO736" s="1353">
        <f t="shared" si="23"/>
        <v>0</v>
      </c>
      <c r="DP736" s="1353"/>
      <c r="DQ736" s="1353"/>
      <c r="DR736" s="1353"/>
      <c r="DS736" s="1353"/>
      <c r="DT736" s="6"/>
      <c r="DU736" s="1367">
        <f t="shared" si="24"/>
        <v>0</v>
      </c>
      <c r="DV736" s="1367"/>
      <c r="DW736" s="1367"/>
      <c r="DX736" s="1367"/>
      <c r="DY736" s="1367"/>
      <c r="DZ736" s="1367">
        <f t="shared" si="25"/>
        <v>0</v>
      </c>
      <c r="EA736" s="1367"/>
      <c r="EB736" s="1367"/>
      <c r="EC736" s="1367"/>
      <c r="ED736" s="1367"/>
      <c r="EE736" s="1367">
        <f t="shared" si="26"/>
        <v>0</v>
      </c>
      <c r="EF736" s="1367"/>
      <c r="EG736" s="1367"/>
      <c r="EH736" s="1367"/>
      <c r="EI736" s="1367"/>
      <c r="EJ736" s="1367">
        <f t="shared" si="27"/>
        <v>0</v>
      </c>
      <c r="EK736" s="1367"/>
      <c r="EL736" s="1367"/>
      <c r="EM736" s="1367"/>
      <c r="EN736" s="1367"/>
      <c r="EO736" s="1367">
        <f t="shared" si="28"/>
        <v>0</v>
      </c>
      <c r="EP736" s="1367"/>
      <c r="EQ736" s="1367"/>
      <c r="ER736" s="1367"/>
      <c r="ES736" s="1367"/>
      <c r="ET736" s="1367">
        <f t="shared" si="29"/>
        <v>0</v>
      </c>
      <c r="EU736" s="1367"/>
      <c r="EV736" s="1367"/>
      <c r="EW736" s="1367"/>
      <c r="EX736" s="1367"/>
      <c r="EZ736" s="1350" t="str">
        <f t="shared" si="30"/>
        <v/>
      </c>
      <c r="FA736" s="1351"/>
      <c r="FB736" s="1351"/>
      <c r="FC736" s="1351"/>
      <c r="FD736" s="1352"/>
      <c r="FE736" s="1350" t="str">
        <f t="shared" si="31"/>
        <v/>
      </c>
      <c r="FF736" s="1351"/>
      <c r="FG736" s="1351"/>
      <c r="FH736" s="1351"/>
      <c r="FI736" s="1352"/>
      <c r="FJ736" s="1350" t="str">
        <f t="shared" si="32"/>
        <v/>
      </c>
      <c r="FK736" s="1351"/>
      <c r="FL736" s="1351"/>
      <c r="FM736" s="1351"/>
      <c r="FN736" s="1352"/>
      <c r="FO736" s="1350" t="str">
        <f t="shared" si="33"/>
        <v/>
      </c>
      <c r="FP736" s="1351"/>
      <c r="FQ736" s="1351"/>
      <c r="FR736" s="1351"/>
      <c r="FS736" s="1352"/>
      <c r="FT736" s="1350" t="str">
        <f t="shared" si="34"/>
        <v/>
      </c>
      <c r="FU736" s="1351"/>
      <c r="FV736" s="1351"/>
      <c r="FW736" s="1351"/>
      <c r="FX736" s="1352"/>
      <c r="FY736" s="1350" t="str">
        <f t="shared" si="35"/>
        <v/>
      </c>
      <c r="FZ736" s="1351"/>
      <c r="GA736" s="1351"/>
      <c r="GB736" s="1351"/>
      <c r="GC736" s="1352"/>
    </row>
    <row r="737" spans="1:185" ht="13.05" customHeight="1">
      <c r="B737" s="1354"/>
      <c r="C737" s="1355"/>
      <c r="D737" s="1355"/>
      <c r="E737" s="1355"/>
      <c r="F737" s="1356"/>
      <c r="G737" s="1363"/>
      <c r="H737" s="1364"/>
      <c r="I737" s="1364"/>
      <c r="J737" s="1365"/>
      <c r="K737" s="1598"/>
      <c r="L737" s="1599"/>
      <c r="M737" s="1599"/>
      <c r="N737" s="1600"/>
      <c r="O737" s="1467"/>
      <c r="P737" s="1468"/>
      <c r="Q737" s="1468"/>
      <c r="R737" s="1468"/>
      <c r="S737" s="1469"/>
      <c r="T737" s="1467"/>
      <c r="U737" s="1468"/>
      <c r="V737" s="1468"/>
      <c r="W737" s="1469"/>
      <c r="X737" s="1357">
        <f t="shared" si="8"/>
        <v>0</v>
      </c>
      <c r="Y737" s="1358"/>
      <c r="Z737" s="1358"/>
      <c r="AA737" s="1358"/>
      <c r="AB737" s="1359"/>
      <c r="AC737" s="1608"/>
      <c r="AD737" s="1609"/>
      <c r="AE737" s="1609"/>
      <c r="AF737" s="1609"/>
      <c r="AG737" s="1610"/>
      <c r="AH737" s="1360" t="str">
        <f t="shared" si="36"/>
        <v/>
      </c>
      <c r="AI737" s="1361"/>
      <c r="AJ737" s="1362"/>
      <c r="AK737" s="1354" t="s">
        <v>591</v>
      </c>
      <c r="AL737" s="1355"/>
      <c r="AM737" s="1355"/>
      <c r="AN737" s="1355"/>
      <c r="AO737" s="1356"/>
      <c r="AP737" s="3"/>
      <c r="AQ737" s="3"/>
      <c r="AR737" s="3"/>
      <c r="AS737" s="3"/>
      <c r="AY737" s="1087"/>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50">
        <f t="shared" si="37"/>
        <v>0</v>
      </c>
      <c r="CH737" s="1352"/>
      <c r="CI737" s="1334">
        <f t="shared" si="38"/>
        <v>0</v>
      </c>
      <c r="CJ737" s="1336"/>
      <c r="CK737" s="1350">
        <f t="shared" si="16"/>
        <v>0</v>
      </c>
      <c r="CL737" s="1352"/>
      <c r="CM737" s="1334">
        <f t="shared" si="17"/>
        <v>0</v>
      </c>
      <c r="CN737" s="1336"/>
      <c r="CO737" s="3"/>
      <c r="CP737" s="1331">
        <f t="shared" si="18"/>
        <v>0</v>
      </c>
      <c r="CQ737" s="1332"/>
      <c r="CR737" s="1332"/>
      <c r="CS737" s="1332"/>
      <c r="CT737" s="1333"/>
      <c r="CU737" s="1353">
        <f t="shared" si="19"/>
        <v>0</v>
      </c>
      <c r="CV737" s="1353"/>
      <c r="CW737" s="1353"/>
      <c r="CX737" s="1353"/>
      <c r="CY737" s="1353"/>
      <c r="CZ737" s="1353">
        <f t="shared" si="20"/>
        <v>0</v>
      </c>
      <c r="DA737" s="1353"/>
      <c r="DB737" s="1353"/>
      <c r="DC737" s="1353"/>
      <c r="DD737" s="1353"/>
      <c r="DE737" s="1353">
        <f t="shared" si="21"/>
        <v>0</v>
      </c>
      <c r="DF737" s="1353"/>
      <c r="DG737" s="1353"/>
      <c r="DH737" s="1353"/>
      <c r="DI737" s="1353"/>
      <c r="DJ737" s="1353">
        <f t="shared" si="22"/>
        <v>0</v>
      </c>
      <c r="DK737" s="1353"/>
      <c r="DL737" s="1353"/>
      <c r="DM737" s="1353"/>
      <c r="DN737" s="1353"/>
      <c r="DO737" s="1353">
        <f t="shared" si="23"/>
        <v>0</v>
      </c>
      <c r="DP737" s="1353"/>
      <c r="DQ737" s="1353"/>
      <c r="DR737" s="1353"/>
      <c r="DS737" s="1353"/>
      <c r="DT737" s="6"/>
      <c r="DU737" s="1367">
        <f t="shared" si="24"/>
        <v>0</v>
      </c>
      <c r="DV737" s="1367"/>
      <c r="DW737" s="1367"/>
      <c r="DX737" s="1367"/>
      <c r="DY737" s="1367"/>
      <c r="DZ737" s="1367">
        <f t="shared" si="25"/>
        <v>0</v>
      </c>
      <c r="EA737" s="1367"/>
      <c r="EB737" s="1367"/>
      <c r="EC737" s="1367"/>
      <c r="ED737" s="1367"/>
      <c r="EE737" s="1367">
        <f t="shared" si="26"/>
        <v>0</v>
      </c>
      <c r="EF737" s="1367"/>
      <c r="EG737" s="1367"/>
      <c r="EH737" s="1367"/>
      <c r="EI737" s="1367"/>
      <c r="EJ737" s="1367">
        <f t="shared" si="27"/>
        <v>0</v>
      </c>
      <c r="EK737" s="1367"/>
      <c r="EL737" s="1367"/>
      <c r="EM737" s="1367"/>
      <c r="EN737" s="1367"/>
      <c r="EO737" s="1367">
        <f t="shared" si="28"/>
        <v>0</v>
      </c>
      <c r="EP737" s="1367"/>
      <c r="EQ737" s="1367"/>
      <c r="ER737" s="1367"/>
      <c r="ES737" s="1367"/>
      <c r="ET737" s="1367">
        <f t="shared" si="29"/>
        <v>0</v>
      </c>
      <c r="EU737" s="1367"/>
      <c r="EV737" s="1367"/>
      <c r="EW737" s="1367"/>
      <c r="EX737" s="1367"/>
      <c r="EZ737" s="1350" t="str">
        <f t="shared" si="30"/>
        <v/>
      </c>
      <c r="FA737" s="1351"/>
      <c r="FB737" s="1351"/>
      <c r="FC737" s="1351"/>
      <c r="FD737" s="1352"/>
      <c r="FE737" s="1350" t="str">
        <f t="shared" si="31"/>
        <v/>
      </c>
      <c r="FF737" s="1351"/>
      <c r="FG737" s="1351"/>
      <c r="FH737" s="1351"/>
      <c r="FI737" s="1352"/>
      <c r="FJ737" s="1350" t="str">
        <f t="shared" si="32"/>
        <v/>
      </c>
      <c r="FK737" s="1351"/>
      <c r="FL737" s="1351"/>
      <c r="FM737" s="1351"/>
      <c r="FN737" s="1352"/>
      <c r="FO737" s="1350" t="str">
        <f t="shared" si="33"/>
        <v/>
      </c>
      <c r="FP737" s="1351"/>
      <c r="FQ737" s="1351"/>
      <c r="FR737" s="1351"/>
      <c r="FS737" s="1352"/>
      <c r="FT737" s="1350" t="str">
        <f t="shared" si="34"/>
        <v/>
      </c>
      <c r="FU737" s="1351"/>
      <c r="FV737" s="1351"/>
      <c r="FW737" s="1351"/>
      <c r="FX737" s="1352"/>
      <c r="FY737" s="1350" t="str">
        <f t="shared" si="35"/>
        <v/>
      </c>
      <c r="FZ737" s="1351"/>
      <c r="GA737" s="1351"/>
      <c r="GB737" s="1351"/>
      <c r="GC737" s="1352"/>
    </row>
    <row r="738" spans="1:185" ht="13.05" customHeight="1">
      <c r="B738" s="1354"/>
      <c r="C738" s="1355"/>
      <c r="D738" s="1355"/>
      <c r="E738" s="1355"/>
      <c r="F738" s="1356"/>
      <c r="G738" s="1363"/>
      <c r="H738" s="1364"/>
      <c r="I738" s="1364"/>
      <c r="J738" s="1365"/>
      <c r="K738" s="1598"/>
      <c r="L738" s="1599"/>
      <c r="M738" s="1599"/>
      <c r="N738" s="1600"/>
      <c r="O738" s="1467"/>
      <c r="P738" s="1468"/>
      <c r="Q738" s="1468"/>
      <c r="R738" s="1468"/>
      <c r="S738" s="1469"/>
      <c r="T738" s="1467"/>
      <c r="U738" s="1468"/>
      <c r="V738" s="1468"/>
      <c r="W738" s="1469"/>
      <c r="X738" s="1357">
        <f t="shared" si="8"/>
        <v>0</v>
      </c>
      <c r="Y738" s="1358"/>
      <c r="Z738" s="1358"/>
      <c r="AA738" s="1358"/>
      <c r="AB738" s="1359"/>
      <c r="AC738" s="1608"/>
      <c r="AD738" s="1609"/>
      <c r="AE738" s="1609"/>
      <c r="AF738" s="1609"/>
      <c r="AG738" s="1610"/>
      <c r="AH738" s="1360" t="str">
        <f t="shared" si="36"/>
        <v/>
      </c>
      <c r="AI738" s="1361"/>
      <c r="AJ738" s="1362"/>
      <c r="AK738" s="1354" t="s">
        <v>591</v>
      </c>
      <c r="AL738" s="1355"/>
      <c r="AM738" s="1355"/>
      <c r="AN738" s="1355"/>
      <c r="AO738" s="1356"/>
      <c r="AP738" s="3"/>
      <c r="AQ738" s="3"/>
      <c r="AR738" s="3"/>
      <c r="AS738" s="3"/>
      <c r="AY738" s="1087"/>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50">
        <f t="shared" si="37"/>
        <v>0</v>
      </c>
      <c r="CH738" s="1352"/>
      <c r="CI738" s="1334">
        <f t="shared" si="38"/>
        <v>0</v>
      </c>
      <c r="CJ738" s="1336"/>
      <c r="CK738" s="1350">
        <f t="shared" si="16"/>
        <v>0</v>
      </c>
      <c r="CL738" s="1352"/>
      <c r="CM738" s="1334">
        <f t="shared" si="17"/>
        <v>0</v>
      </c>
      <c r="CN738" s="1336"/>
      <c r="CO738" s="3"/>
      <c r="CP738" s="1331">
        <f t="shared" si="18"/>
        <v>0</v>
      </c>
      <c r="CQ738" s="1332"/>
      <c r="CR738" s="1332"/>
      <c r="CS738" s="1332"/>
      <c r="CT738" s="1333"/>
      <c r="CU738" s="1353">
        <f t="shared" si="19"/>
        <v>0</v>
      </c>
      <c r="CV738" s="1353"/>
      <c r="CW738" s="1353"/>
      <c r="CX738" s="1353"/>
      <c r="CY738" s="1353"/>
      <c r="CZ738" s="1353">
        <f t="shared" si="20"/>
        <v>0</v>
      </c>
      <c r="DA738" s="1353"/>
      <c r="DB738" s="1353"/>
      <c r="DC738" s="1353"/>
      <c r="DD738" s="1353"/>
      <c r="DE738" s="1353">
        <f t="shared" si="21"/>
        <v>0</v>
      </c>
      <c r="DF738" s="1353"/>
      <c r="DG738" s="1353"/>
      <c r="DH738" s="1353"/>
      <c r="DI738" s="1353"/>
      <c r="DJ738" s="1353">
        <f t="shared" si="22"/>
        <v>0</v>
      </c>
      <c r="DK738" s="1353"/>
      <c r="DL738" s="1353"/>
      <c r="DM738" s="1353"/>
      <c r="DN738" s="1353"/>
      <c r="DO738" s="1353">
        <f t="shared" si="23"/>
        <v>0</v>
      </c>
      <c r="DP738" s="1353"/>
      <c r="DQ738" s="1353"/>
      <c r="DR738" s="1353"/>
      <c r="DS738" s="1353"/>
      <c r="DT738" s="6"/>
      <c r="DU738" s="1367">
        <f t="shared" si="24"/>
        <v>0</v>
      </c>
      <c r="DV738" s="1367"/>
      <c r="DW738" s="1367"/>
      <c r="DX738" s="1367"/>
      <c r="DY738" s="1367"/>
      <c r="DZ738" s="1367">
        <f t="shared" si="25"/>
        <v>0</v>
      </c>
      <c r="EA738" s="1367"/>
      <c r="EB738" s="1367"/>
      <c r="EC738" s="1367"/>
      <c r="ED738" s="1367"/>
      <c r="EE738" s="1367">
        <f t="shared" si="26"/>
        <v>0</v>
      </c>
      <c r="EF738" s="1367"/>
      <c r="EG738" s="1367"/>
      <c r="EH738" s="1367"/>
      <c r="EI738" s="1367"/>
      <c r="EJ738" s="1367">
        <f t="shared" si="27"/>
        <v>0</v>
      </c>
      <c r="EK738" s="1367"/>
      <c r="EL738" s="1367"/>
      <c r="EM738" s="1367"/>
      <c r="EN738" s="1367"/>
      <c r="EO738" s="1367">
        <f t="shared" si="28"/>
        <v>0</v>
      </c>
      <c r="EP738" s="1367"/>
      <c r="EQ738" s="1367"/>
      <c r="ER738" s="1367"/>
      <c r="ES738" s="1367"/>
      <c r="ET738" s="1367">
        <f t="shared" si="29"/>
        <v>0</v>
      </c>
      <c r="EU738" s="1367"/>
      <c r="EV738" s="1367"/>
      <c r="EW738" s="1367"/>
      <c r="EX738" s="1367"/>
      <c r="EZ738" s="1350" t="str">
        <f t="shared" si="30"/>
        <v/>
      </c>
      <c r="FA738" s="1351"/>
      <c r="FB738" s="1351"/>
      <c r="FC738" s="1351"/>
      <c r="FD738" s="1352"/>
      <c r="FE738" s="1350" t="str">
        <f t="shared" si="31"/>
        <v/>
      </c>
      <c r="FF738" s="1351"/>
      <c r="FG738" s="1351"/>
      <c r="FH738" s="1351"/>
      <c r="FI738" s="1352"/>
      <c r="FJ738" s="1350" t="str">
        <f t="shared" si="32"/>
        <v/>
      </c>
      <c r="FK738" s="1351"/>
      <c r="FL738" s="1351"/>
      <c r="FM738" s="1351"/>
      <c r="FN738" s="1352"/>
      <c r="FO738" s="1350" t="str">
        <f t="shared" si="33"/>
        <v/>
      </c>
      <c r="FP738" s="1351"/>
      <c r="FQ738" s="1351"/>
      <c r="FR738" s="1351"/>
      <c r="FS738" s="1352"/>
      <c r="FT738" s="1350" t="str">
        <f t="shared" si="34"/>
        <v/>
      </c>
      <c r="FU738" s="1351"/>
      <c r="FV738" s="1351"/>
      <c r="FW738" s="1351"/>
      <c r="FX738" s="1352"/>
      <c r="FY738" s="1350" t="str">
        <f t="shared" si="35"/>
        <v/>
      </c>
      <c r="FZ738" s="1351"/>
      <c r="GA738" s="1351"/>
      <c r="GB738" s="1351"/>
      <c r="GC738" s="1352"/>
    </row>
    <row r="739" spans="1:185" ht="13.05" customHeight="1">
      <c r="B739" s="1354"/>
      <c r="C739" s="1355"/>
      <c r="D739" s="1355"/>
      <c r="E739" s="1355"/>
      <c r="F739" s="1356"/>
      <c r="G739" s="1363"/>
      <c r="H739" s="1364"/>
      <c r="I739" s="1364"/>
      <c r="J739" s="1365"/>
      <c r="K739" s="1598"/>
      <c r="L739" s="1599"/>
      <c r="M739" s="1599"/>
      <c r="N739" s="1600"/>
      <c r="O739" s="1467"/>
      <c r="P739" s="1468"/>
      <c r="Q739" s="1468"/>
      <c r="R739" s="1468"/>
      <c r="S739" s="1469"/>
      <c r="T739" s="1467"/>
      <c r="U739" s="1468"/>
      <c r="V739" s="1468"/>
      <c r="W739" s="1469"/>
      <c r="X739" s="1357">
        <f t="shared" si="8"/>
        <v>0</v>
      </c>
      <c r="Y739" s="1358"/>
      <c r="Z739" s="1358"/>
      <c r="AA739" s="1358"/>
      <c r="AB739" s="1359"/>
      <c r="AC739" s="1608"/>
      <c r="AD739" s="1609"/>
      <c r="AE739" s="1609"/>
      <c r="AF739" s="1609"/>
      <c r="AG739" s="1610"/>
      <c r="AH739" s="1360" t="str">
        <f t="shared" si="36"/>
        <v/>
      </c>
      <c r="AI739" s="1361"/>
      <c r="AJ739" s="1362"/>
      <c r="AK739" s="1354" t="s">
        <v>591</v>
      </c>
      <c r="AL739" s="1355"/>
      <c r="AM739" s="1355"/>
      <c r="AN739" s="1355"/>
      <c r="AO739" s="1356"/>
      <c r="AP739" s="3"/>
      <c r="AQ739" s="3"/>
      <c r="AR739" s="3"/>
      <c r="AS739" s="3"/>
      <c r="AY739" s="1087"/>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50">
        <f t="shared" si="37"/>
        <v>0</v>
      </c>
      <c r="CH739" s="1352"/>
      <c r="CI739" s="1334">
        <f t="shared" si="38"/>
        <v>0</v>
      </c>
      <c r="CJ739" s="1336"/>
      <c r="CK739" s="1350">
        <f t="shared" si="16"/>
        <v>0</v>
      </c>
      <c r="CL739" s="1352"/>
      <c r="CM739" s="1334">
        <f t="shared" si="17"/>
        <v>0</v>
      </c>
      <c r="CN739" s="1336"/>
      <c r="CO739" s="3"/>
      <c r="CP739" s="1331">
        <f t="shared" si="18"/>
        <v>0</v>
      </c>
      <c r="CQ739" s="1332"/>
      <c r="CR739" s="1332"/>
      <c r="CS739" s="1332"/>
      <c r="CT739" s="1333"/>
      <c r="CU739" s="1353">
        <f t="shared" si="19"/>
        <v>0</v>
      </c>
      <c r="CV739" s="1353"/>
      <c r="CW739" s="1353"/>
      <c r="CX739" s="1353"/>
      <c r="CY739" s="1353"/>
      <c r="CZ739" s="1353">
        <f t="shared" si="20"/>
        <v>0</v>
      </c>
      <c r="DA739" s="1353"/>
      <c r="DB739" s="1353"/>
      <c r="DC739" s="1353"/>
      <c r="DD739" s="1353"/>
      <c r="DE739" s="1353">
        <f t="shared" si="21"/>
        <v>0</v>
      </c>
      <c r="DF739" s="1353"/>
      <c r="DG739" s="1353"/>
      <c r="DH739" s="1353"/>
      <c r="DI739" s="1353"/>
      <c r="DJ739" s="1353">
        <f t="shared" si="22"/>
        <v>0</v>
      </c>
      <c r="DK739" s="1353"/>
      <c r="DL739" s="1353"/>
      <c r="DM739" s="1353"/>
      <c r="DN739" s="1353"/>
      <c r="DO739" s="1353">
        <f t="shared" si="23"/>
        <v>0</v>
      </c>
      <c r="DP739" s="1353"/>
      <c r="DQ739" s="1353"/>
      <c r="DR739" s="1353"/>
      <c r="DS739" s="1353"/>
      <c r="DT739" s="6"/>
      <c r="DU739" s="1367">
        <f t="shared" si="24"/>
        <v>0</v>
      </c>
      <c r="DV739" s="1367"/>
      <c r="DW739" s="1367"/>
      <c r="DX739" s="1367"/>
      <c r="DY739" s="1367"/>
      <c r="DZ739" s="1367">
        <f t="shared" si="25"/>
        <v>0</v>
      </c>
      <c r="EA739" s="1367"/>
      <c r="EB739" s="1367"/>
      <c r="EC739" s="1367"/>
      <c r="ED739" s="1367"/>
      <c r="EE739" s="1367">
        <f t="shared" si="26"/>
        <v>0</v>
      </c>
      <c r="EF739" s="1367"/>
      <c r="EG739" s="1367"/>
      <c r="EH739" s="1367"/>
      <c r="EI739" s="1367"/>
      <c r="EJ739" s="1367">
        <f t="shared" si="27"/>
        <v>0</v>
      </c>
      <c r="EK739" s="1367"/>
      <c r="EL739" s="1367"/>
      <c r="EM739" s="1367"/>
      <c r="EN739" s="1367"/>
      <c r="EO739" s="1367">
        <f t="shared" si="28"/>
        <v>0</v>
      </c>
      <c r="EP739" s="1367"/>
      <c r="EQ739" s="1367"/>
      <c r="ER739" s="1367"/>
      <c r="ES739" s="1367"/>
      <c r="ET739" s="1367">
        <f t="shared" si="29"/>
        <v>0</v>
      </c>
      <c r="EU739" s="1367"/>
      <c r="EV739" s="1367"/>
      <c r="EW739" s="1367"/>
      <c r="EX739" s="1367"/>
      <c r="EZ739" s="1350" t="str">
        <f t="shared" si="30"/>
        <v/>
      </c>
      <c r="FA739" s="1351"/>
      <c r="FB739" s="1351"/>
      <c r="FC739" s="1351"/>
      <c r="FD739" s="1352"/>
      <c r="FE739" s="1350" t="str">
        <f t="shared" si="31"/>
        <v/>
      </c>
      <c r="FF739" s="1351"/>
      <c r="FG739" s="1351"/>
      <c r="FH739" s="1351"/>
      <c r="FI739" s="1352"/>
      <c r="FJ739" s="1350" t="str">
        <f t="shared" si="32"/>
        <v/>
      </c>
      <c r="FK739" s="1351"/>
      <c r="FL739" s="1351"/>
      <c r="FM739" s="1351"/>
      <c r="FN739" s="1352"/>
      <c r="FO739" s="1350" t="str">
        <f t="shared" si="33"/>
        <v/>
      </c>
      <c r="FP739" s="1351"/>
      <c r="FQ739" s="1351"/>
      <c r="FR739" s="1351"/>
      <c r="FS739" s="1352"/>
      <c r="FT739" s="1350" t="str">
        <f t="shared" si="34"/>
        <v/>
      </c>
      <c r="FU739" s="1351"/>
      <c r="FV739" s="1351"/>
      <c r="FW739" s="1351"/>
      <c r="FX739" s="1352"/>
      <c r="FY739" s="1350" t="str">
        <f t="shared" si="35"/>
        <v/>
      </c>
      <c r="FZ739" s="1351"/>
      <c r="GA739" s="1351"/>
      <c r="GB739" s="1351"/>
      <c r="GC739" s="1352"/>
    </row>
    <row r="740" spans="1:185" ht="13.05" customHeight="1">
      <c r="B740" s="1354"/>
      <c r="C740" s="1355"/>
      <c r="D740" s="1355"/>
      <c r="E740" s="1355"/>
      <c r="F740" s="1356"/>
      <c r="G740" s="1363"/>
      <c r="H740" s="1364"/>
      <c r="I740" s="1364"/>
      <c r="J740" s="1365"/>
      <c r="K740" s="1598"/>
      <c r="L740" s="1599"/>
      <c r="M740" s="1599"/>
      <c r="N740" s="1600"/>
      <c r="O740" s="1467"/>
      <c r="P740" s="1468"/>
      <c r="Q740" s="1468"/>
      <c r="R740" s="1468"/>
      <c r="S740" s="1469"/>
      <c r="T740" s="1467"/>
      <c r="U740" s="1468"/>
      <c r="V740" s="1468"/>
      <c r="W740" s="1469"/>
      <c r="X740" s="1357">
        <f t="shared" si="8"/>
        <v>0</v>
      </c>
      <c r="Y740" s="1358"/>
      <c r="Z740" s="1358"/>
      <c r="AA740" s="1358"/>
      <c r="AB740" s="1359"/>
      <c r="AC740" s="1608"/>
      <c r="AD740" s="1609"/>
      <c r="AE740" s="1609"/>
      <c r="AF740" s="1609"/>
      <c r="AG740" s="1610"/>
      <c r="AH740" s="1360" t="str">
        <f t="shared" si="36"/>
        <v/>
      </c>
      <c r="AI740" s="1361"/>
      <c r="AJ740" s="1362"/>
      <c r="AK740" s="1354" t="s">
        <v>591</v>
      </c>
      <c r="AL740" s="1355"/>
      <c r="AM740" s="1355"/>
      <c r="AN740" s="1355"/>
      <c r="AO740" s="1356"/>
      <c r="AP740" s="3"/>
      <c r="AQ740" s="3"/>
      <c r="AR740" s="3"/>
      <c r="AS740" s="3"/>
      <c r="AY740" s="1087"/>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50">
        <f t="shared" si="37"/>
        <v>0</v>
      </c>
      <c r="CH740" s="1352"/>
      <c r="CI740" s="1334">
        <f t="shared" si="38"/>
        <v>0</v>
      </c>
      <c r="CJ740" s="1336"/>
      <c r="CK740" s="1350">
        <f t="shared" si="16"/>
        <v>0</v>
      </c>
      <c r="CL740" s="1352"/>
      <c r="CM740" s="1334">
        <f t="shared" si="17"/>
        <v>0</v>
      </c>
      <c r="CN740" s="1336"/>
      <c r="CO740" s="3"/>
      <c r="CP740" s="1331">
        <f t="shared" si="18"/>
        <v>0</v>
      </c>
      <c r="CQ740" s="1332"/>
      <c r="CR740" s="1332"/>
      <c r="CS740" s="1332"/>
      <c r="CT740" s="1333"/>
      <c r="CU740" s="1353">
        <f t="shared" si="19"/>
        <v>0</v>
      </c>
      <c r="CV740" s="1353"/>
      <c r="CW740" s="1353"/>
      <c r="CX740" s="1353"/>
      <c r="CY740" s="1353"/>
      <c r="CZ740" s="1353">
        <f t="shared" si="20"/>
        <v>0</v>
      </c>
      <c r="DA740" s="1353"/>
      <c r="DB740" s="1353"/>
      <c r="DC740" s="1353"/>
      <c r="DD740" s="1353"/>
      <c r="DE740" s="1353">
        <f t="shared" si="21"/>
        <v>0</v>
      </c>
      <c r="DF740" s="1353"/>
      <c r="DG740" s="1353"/>
      <c r="DH740" s="1353"/>
      <c r="DI740" s="1353"/>
      <c r="DJ740" s="1353">
        <f t="shared" si="22"/>
        <v>0</v>
      </c>
      <c r="DK740" s="1353"/>
      <c r="DL740" s="1353"/>
      <c r="DM740" s="1353"/>
      <c r="DN740" s="1353"/>
      <c r="DO740" s="1353">
        <f t="shared" si="23"/>
        <v>0</v>
      </c>
      <c r="DP740" s="1353"/>
      <c r="DQ740" s="1353"/>
      <c r="DR740" s="1353"/>
      <c r="DS740" s="1353"/>
      <c r="DT740" s="6"/>
      <c r="DU740" s="1367">
        <f t="shared" si="24"/>
        <v>0</v>
      </c>
      <c r="DV740" s="1367"/>
      <c r="DW740" s="1367"/>
      <c r="DX740" s="1367"/>
      <c r="DY740" s="1367"/>
      <c r="DZ740" s="1367">
        <f t="shared" si="25"/>
        <v>0</v>
      </c>
      <c r="EA740" s="1367"/>
      <c r="EB740" s="1367"/>
      <c r="EC740" s="1367"/>
      <c r="ED740" s="1367"/>
      <c r="EE740" s="1367">
        <f t="shared" si="26"/>
        <v>0</v>
      </c>
      <c r="EF740" s="1367"/>
      <c r="EG740" s="1367"/>
      <c r="EH740" s="1367"/>
      <c r="EI740" s="1367"/>
      <c r="EJ740" s="1367">
        <f t="shared" si="27"/>
        <v>0</v>
      </c>
      <c r="EK740" s="1367"/>
      <c r="EL740" s="1367"/>
      <c r="EM740" s="1367"/>
      <c r="EN740" s="1367"/>
      <c r="EO740" s="1367">
        <f t="shared" si="28"/>
        <v>0</v>
      </c>
      <c r="EP740" s="1367"/>
      <c r="EQ740" s="1367"/>
      <c r="ER740" s="1367"/>
      <c r="ES740" s="1367"/>
      <c r="ET740" s="1367">
        <f t="shared" si="29"/>
        <v>0</v>
      </c>
      <c r="EU740" s="1367"/>
      <c r="EV740" s="1367"/>
      <c r="EW740" s="1367"/>
      <c r="EX740" s="1367"/>
      <c r="EZ740" s="1350" t="str">
        <f t="shared" si="30"/>
        <v/>
      </c>
      <c r="FA740" s="1351"/>
      <c r="FB740" s="1351"/>
      <c r="FC740" s="1351"/>
      <c r="FD740" s="1352"/>
      <c r="FE740" s="1350" t="str">
        <f t="shared" si="31"/>
        <v/>
      </c>
      <c r="FF740" s="1351"/>
      <c r="FG740" s="1351"/>
      <c r="FH740" s="1351"/>
      <c r="FI740" s="1352"/>
      <c r="FJ740" s="1350" t="str">
        <f t="shared" si="32"/>
        <v/>
      </c>
      <c r="FK740" s="1351"/>
      <c r="FL740" s="1351"/>
      <c r="FM740" s="1351"/>
      <c r="FN740" s="1352"/>
      <c r="FO740" s="1350" t="str">
        <f t="shared" si="33"/>
        <v/>
      </c>
      <c r="FP740" s="1351"/>
      <c r="FQ740" s="1351"/>
      <c r="FR740" s="1351"/>
      <c r="FS740" s="1352"/>
      <c r="FT740" s="1350" t="str">
        <f t="shared" si="34"/>
        <v/>
      </c>
      <c r="FU740" s="1351"/>
      <c r="FV740" s="1351"/>
      <c r="FW740" s="1351"/>
      <c r="FX740" s="1352"/>
      <c r="FY740" s="1350" t="str">
        <f t="shared" si="35"/>
        <v/>
      </c>
      <c r="FZ740" s="1351"/>
      <c r="GA740" s="1351"/>
      <c r="GB740" s="1351"/>
      <c r="GC740" s="1352"/>
    </row>
    <row r="741" spans="1:185" ht="13.05" customHeight="1">
      <c r="B741" s="1354"/>
      <c r="C741" s="1355"/>
      <c r="D741" s="1355"/>
      <c r="E741" s="1355"/>
      <c r="F741" s="1356"/>
      <c r="G741" s="1363"/>
      <c r="H741" s="1364"/>
      <c r="I741" s="1364"/>
      <c r="J741" s="1365"/>
      <c r="K741" s="1598"/>
      <c r="L741" s="1599"/>
      <c r="M741" s="1599"/>
      <c r="N741" s="1600"/>
      <c r="O741" s="1467"/>
      <c r="P741" s="1468"/>
      <c r="Q741" s="1468"/>
      <c r="R741" s="1468"/>
      <c r="S741" s="1469"/>
      <c r="T741" s="1467"/>
      <c r="U741" s="1468"/>
      <c r="V741" s="1468"/>
      <c r="W741" s="1469"/>
      <c r="X741" s="1357">
        <f t="shared" si="8"/>
        <v>0</v>
      </c>
      <c r="Y741" s="1358"/>
      <c r="Z741" s="1358"/>
      <c r="AA741" s="1358"/>
      <c r="AB741" s="1359"/>
      <c r="AC741" s="1608"/>
      <c r="AD741" s="1609"/>
      <c r="AE741" s="1609"/>
      <c r="AF741" s="1609"/>
      <c r="AG741" s="1610"/>
      <c r="AH741" s="1360" t="str">
        <f t="shared" si="36"/>
        <v/>
      </c>
      <c r="AI741" s="1361"/>
      <c r="AJ741" s="1362"/>
      <c r="AK741" s="1354" t="s">
        <v>591</v>
      </c>
      <c r="AL741" s="1355"/>
      <c r="AM741" s="1355"/>
      <c r="AN741" s="1355"/>
      <c r="AO741" s="1356"/>
      <c r="AP741" s="3"/>
      <c r="AQ741" s="3"/>
      <c r="AR741" s="3"/>
      <c r="AS741" s="3"/>
      <c r="AY741" s="1087"/>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50">
        <f t="shared" si="37"/>
        <v>0</v>
      </c>
      <c r="CH741" s="1352"/>
      <c r="CI741" s="1334">
        <f t="shared" si="38"/>
        <v>0</v>
      </c>
      <c r="CJ741" s="1336"/>
      <c r="CK741" s="1350">
        <f t="shared" si="16"/>
        <v>0</v>
      </c>
      <c r="CL741" s="1352"/>
      <c r="CM741" s="1334">
        <f t="shared" si="17"/>
        <v>0</v>
      </c>
      <c r="CN741" s="1336"/>
      <c r="CO741" s="3"/>
      <c r="CP741" s="1331">
        <f t="shared" si="18"/>
        <v>0</v>
      </c>
      <c r="CQ741" s="1332"/>
      <c r="CR741" s="1332"/>
      <c r="CS741" s="1332"/>
      <c r="CT741" s="1333"/>
      <c r="CU741" s="1353">
        <f t="shared" si="19"/>
        <v>0</v>
      </c>
      <c r="CV741" s="1353"/>
      <c r="CW741" s="1353"/>
      <c r="CX741" s="1353"/>
      <c r="CY741" s="1353"/>
      <c r="CZ741" s="1353">
        <f t="shared" si="20"/>
        <v>0</v>
      </c>
      <c r="DA741" s="1353"/>
      <c r="DB741" s="1353"/>
      <c r="DC741" s="1353"/>
      <c r="DD741" s="1353"/>
      <c r="DE741" s="1353">
        <f t="shared" si="21"/>
        <v>0</v>
      </c>
      <c r="DF741" s="1353"/>
      <c r="DG741" s="1353"/>
      <c r="DH741" s="1353"/>
      <c r="DI741" s="1353"/>
      <c r="DJ741" s="1353">
        <f t="shared" si="22"/>
        <v>0</v>
      </c>
      <c r="DK741" s="1353"/>
      <c r="DL741" s="1353"/>
      <c r="DM741" s="1353"/>
      <c r="DN741" s="1353"/>
      <c r="DO741" s="1353">
        <f t="shared" si="23"/>
        <v>0</v>
      </c>
      <c r="DP741" s="1353"/>
      <c r="DQ741" s="1353"/>
      <c r="DR741" s="1353"/>
      <c r="DS741" s="1353"/>
      <c r="DT741" s="6"/>
      <c r="DU741" s="1367">
        <f t="shared" si="24"/>
        <v>0</v>
      </c>
      <c r="DV741" s="1367"/>
      <c r="DW741" s="1367"/>
      <c r="DX741" s="1367"/>
      <c r="DY741" s="1367"/>
      <c r="DZ741" s="1367">
        <f t="shared" si="25"/>
        <v>0</v>
      </c>
      <c r="EA741" s="1367"/>
      <c r="EB741" s="1367"/>
      <c r="EC741" s="1367"/>
      <c r="ED741" s="1367"/>
      <c r="EE741" s="1367">
        <f t="shared" si="26"/>
        <v>0</v>
      </c>
      <c r="EF741" s="1367"/>
      <c r="EG741" s="1367"/>
      <c r="EH741" s="1367"/>
      <c r="EI741" s="1367"/>
      <c r="EJ741" s="1367">
        <f t="shared" si="27"/>
        <v>0</v>
      </c>
      <c r="EK741" s="1367"/>
      <c r="EL741" s="1367"/>
      <c r="EM741" s="1367"/>
      <c r="EN741" s="1367"/>
      <c r="EO741" s="1367">
        <f t="shared" si="28"/>
        <v>0</v>
      </c>
      <c r="EP741" s="1367"/>
      <c r="EQ741" s="1367"/>
      <c r="ER741" s="1367"/>
      <c r="ES741" s="1367"/>
      <c r="ET741" s="1367">
        <f t="shared" si="29"/>
        <v>0</v>
      </c>
      <c r="EU741" s="1367"/>
      <c r="EV741" s="1367"/>
      <c r="EW741" s="1367"/>
      <c r="EX741" s="1367"/>
      <c r="EZ741" s="1350" t="str">
        <f t="shared" si="30"/>
        <v/>
      </c>
      <c r="FA741" s="1351"/>
      <c r="FB741" s="1351"/>
      <c r="FC741" s="1351"/>
      <c r="FD741" s="1352"/>
      <c r="FE741" s="1350" t="str">
        <f t="shared" si="31"/>
        <v/>
      </c>
      <c r="FF741" s="1351"/>
      <c r="FG741" s="1351"/>
      <c r="FH741" s="1351"/>
      <c r="FI741" s="1352"/>
      <c r="FJ741" s="1350" t="str">
        <f t="shared" si="32"/>
        <v/>
      </c>
      <c r="FK741" s="1351"/>
      <c r="FL741" s="1351"/>
      <c r="FM741" s="1351"/>
      <c r="FN741" s="1352"/>
      <c r="FO741" s="1350" t="str">
        <f t="shared" si="33"/>
        <v/>
      </c>
      <c r="FP741" s="1351"/>
      <c r="FQ741" s="1351"/>
      <c r="FR741" s="1351"/>
      <c r="FS741" s="1352"/>
      <c r="FT741" s="1350" t="str">
        <f t="shared" si="34"/>
        <v/>
      </c>
      <c r="FU741" s="1351"/>
      <c r="FV741" s="1351"/>
      <c r="FW741" s="1351"/>
      <c r="FX741" s="1352"/>
      <c r="FY741" s="1350" t="str">
        <f t="shared" si="35"/>
        <v/>
      </c>
      <c r="FZ741" s="1351"/>
      <c r="GA741" s="1351"/>
      <c r="GB741" s="1351"/>
      <c r="GC741" s="1352"/>
    </row>
    <row r="742" spans="1:185" ht="13.05" customHeight="1">
      <c r="B742" s="1354"/>
      <c r="C742" s="1355"/>
      <c r="D742" s="1355"/>
      <c r="E742" s="1355"/>
      <c r="F742" s="1356"/>
      <c r="G742" s="1363"/>
      <c r="H742" s="1364"/>
      <c r="I742" s="1364"/>
      <c r="J742" s="1365"/>
      <c r="K742" s="1598"/>
      <c r="L742" s="1599"/>
      <c r="M742" s="1599"/>
      <c r="N742" s="1600"/>
      <c r="O742" s="1467"/>
      <c r="P742" s="1468"/>
      <c r="Q742" s="1468"/>
      <c r="R742" s="1468"/>
      <c r="S742" s="1469"/>
      <c r="T742" s="1467"/>
      <c r="U742" s="1468"/>
      <c r="V742" s="1468"/>
      <c r="W742" s="1469"/>
      <c r="X742" s="1357">
        <f t="shared" ref="X742:X751" si="39">O742+T742</f>
        <v>0</v>
      </c>
      <c r="Y742" s="1358"/>
      <c r="Z742" s="1358"/>
      <c r="AA742" s="1358"/>
      <c r="AB742" s="1359"/>
      <c r="AC742" s="1608"/>
      <c r="AD742" s="1609"/>
      <c r="AE742" s="1609"/>
      <c r="AF742" s="1609"/>
      <c r="AG742" s="1610"/>
      <c r="AH742" s="1360" t="str">
        <f t="shared" si="36"/>
        <v/>
      </c>
      <c r="AI742" s="1361"/>
      <c r="AJ742" s="1362"/>
      <c r="AK742" s="1354" t="s">
        <v>591</v>
      </c>
      <c r="AL742" s="1355"/>
      <c r="AM742" s="1355"/>
      <c r="AN742" s="1355"/>
      <c r="AO742" s="1356"/>
      <c r="AP742" s="3"/>
      <c r="AQ742" s="3"/>
      <c r="AR742" s="3"/>
      <c r="AS742" s="3"/>
      <c r="AY742" s="1087"/>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50">
        <f t="shared" si="37"/>
        <v>0</v>
      </c>
      <c r="CH742" s="1352"/>
      <c r="CI742" s="1334">
        <f t="shared" si="38"/>
        <v>0</v>
      </c>
      <c r="CJ742" s="1336"/>
      <c r="CK742" s="1350">
        <f t="shared" si="16"/>
        <v>0</v>
      </c>
      <c r="CL742" s="1352"/>
      <c r="CM742" s="1334">
        <f t="shared" si="17"/>
        <v>0</v>
      </c>
      <c r="CN742" s="1336"/>
      <c r="CO742" s="3"/>
      <c r="CP742" s="1331">
        <f t="shared" si="18"/>
        <v>0</v>
      </c>
      <c r="CQ742" s="1332"/>
      <c r="CR742" s="1332"/>
      <c r="CS742" s="1332"/>
      <c r="CT742" s="1333"/>
      <c r="CU742" s="1353">
        <f t="shared" si="19"/>
        <v>0</v>
      </c>
      <c r="CV742" s="1353"/>
      <c r="CW742" s="1353"/>
      <c r="CX742" s="1353"/>
      <c r="CY742" s="1353"/>
      <c r="CZ742" s="1353">
        <f t="shared" si="20"/>
        <v>0</v>
      </c>
      <c r="DA742" s="1353"/>
      <c r="DB742" s="1353"/>
      <c r="DC742" s="1353"/>
      <c r="DD742" s="1353"/>
      <c r="DE742" s="1353">
        <f t="shared" si="21"/>
        <v>0</v>
      </c>
      <c r="DF742" s="1353"/>
      <c r="DG742" s="1353"/>
      <c r="DH742" s="1353"/>
      <c r="DI742" s="1353"/>
      <c r="DJ742" s="1353">
        <f t="shared" si="22"/>
        <v>0</v>
      </c>
      <c r="DK742" s="1353"/>
      <c r="DL742" s="1353"/>
      <c r="DM742" s="1353"/>
      <c r="DN742" s="1353"/>
      <c r="DO742" s="1353">
        <f t="shared" si="23"/>
        <v>0</v>
      </c>
      <c r="DP742" s="1353"/>
      <c r="DQ742" s="1353"/>
      <c r="DR742" s="1353"/>
      <c r="DS742" s="1353"/>
      <c r="DT742" s="6"/>
      <c r="DU742" s="1367">
        <f t="shared" si="24"/>
        <v>0</v>
      </c>
      <c r="DV742" s="1367"/>
      <c r="DW742" s="1367"/>
      <c r="DX742" s="1367"/>
      <c r="DY742" s="1367"/>
      <c r="DZ742" s="1367">
        <f t="shared" si="25"/>
        <v>0</v>
      </c>
      <c r="EA742" s="1367"/>
      <c r="EB742" s="1367"/>
      <c r="EC742" s="1367"/>
      <c r="ED742" s="1367"/>
      <c r="EE742" s="1367">
        <f t="shared" si="26"/>
        <v>0</v>
      </c>
      <c r="EF742" s="1367"/>
      <c r="EG742" s="1367"/>
      <c r="EH742" s="1367"/>
      <c r="EI742" s="1367"/>
      <c r="EJ742" s="1367">
        <f t="shared" si="27"/>
        <v>0</v>
      </c>
      <c r="EK742" s="1367"/>
      <c r="EL742" s="1367"/>
      <c r="EM742" s="1367"/>
      <c r="EN742" s="1367"/>
      <c r="EO742" s="1367">
        <f t="shared" si="28"/>
        <v>0</v>
      </c>
      <c r="EP742" s="1367"/>
      <c r="EQ742" s="1367"/>
      <c r="ER742" s="1367"/>
      <c r="ES742" s="1367"/>
      <c r="ET742" s="1367">
        <f t="shared" si="29"/>
        <v>0</v>
      </c>
      <c r="EU742" s="1367"/>
      <c r="EV742" s="1367"/>
      <c r="EW742" s="1367"/>
      <c r="EX742" s="1367"/>
      <c r="EZ742" s="1350" t="str">
        <f t="shared" si="30"/>
        <v/>
      </c>
      <c r="FA742" s="1351"/>
      <c r="FB742" s="1351"/>
      <c r="FC742" s="1351"/>
      <c r="FD742" s="1352"/>
      <c r="FE742" s="1350" t="str">
        <f t="shared" si="31"/>
        <v/>
      </c>
      <c r="FF742" s="1351"/>
      <c r="FG742" s="1351"/>
      <c r="FH742" s="1351"/>
      <c r="FI742" s="1352"/>
      <c r="FJ742" s="1350" t="str">
        <f t="shared" si="32"/>
        <v/>
      </c>
      <c r="FK742" s="1351"/>
      <c r="FL742" s="1351"/>
      <c r="FM742" s="1351"/>
      <c r="FN742" s="1352"/>
      <c r="FO742" s="1350" t="str">
        <f t="shared" si="33"/>
        <v/>
      </c>
      <c r="FP742" s="1351"/>
      <c r="FQ742" s="1351"/>
      <c r="FR742" s="1351"/>
      <c r="FS742" s="1352"/>
      <c r="FT742" s="1350" t="str">
        <f t="shared" si="34"/>
        <v/>
      </c>
      <c r="FU742" s="1351"/>
      <c r="FV742" s="1351"/>
      <c r="FW742" s="1351"/>
      <c r="FX742" s="1352"/>
      <c r="FY742" s="1350" t="str">
        <f t="shared" si="35"/>
        <v/>
      </c>
      <c r="FZ742" s="1351"/>
      <c r="GA742" s="1351"/>
      <c r="GB742" s="1351"/>
      <c r="GC742" s="1352"/>
    </row>
    <row r="743" spans="1:185" s="3" customFormat="1" ht="13.05" customHeight="1">
      <c r="A743"/>
      <c r="B743" s="1354"/>
      <c r="C743" s="1355"/>
      <c r="D743" s="1355"/>
      <c r="E743" s="1355"/>
      <c r="F743" s="1356"/>
      <c r="G743" s="1363"/>
      <c r="H743" s="1364"/>
      <c r="I743" s="1364"/>
      <c r="J743" s="1365"/>
      <c r="K743" s="1598"/>
      <c r="L743" s="1599"/>
      <c r="M743" s="1599"/>
      <c r="N743" s="1600"/>
      <c r="O743" s="1467"/>
      <c r="P743" s="1468"/>
      <c r="Q743" s="1468"/>
      <c r="R743" s="1468"/>
      <c r="S743" s="1469"/>
      <c r="T743" s="1467"/>
      <c r="U743" s="1468"/>
      <c r="V743" s="1468"/>
      <c r="W743" s="1469"/>
      <c r="X743" s="1357">
        <f t="shared" si="39"/>
        <v>0</v>
      </c>
      <c r="Y743" s="1358"/>
      <c r="Z743" s="1358"/>
      <c r="AA743" s="1358"/>
      <c r="AB743" s="1359"/>
      <c r="AC743" s="1608"/>
      <c r="AD743" s="1609"/>
      <c r="AE743" s="1609"/>
      <c r="AF743" s="1609"/>
      <c r="AG743" s="1610"/>
      <c r="AH743" s="1360" t="str">
        <f t="shared" si="36"/>
        <v/>
      </c>
      <c r="AI743" s="1361"/>
      <c r="AJ743" s="1362"/>
      <c r="AK743" s="1354" t="s">
        <v>591</v>
      </c>
      <c r="AL743" s="1355"/>
      <c r="AM743" s="1355"/>
      <c r="AN743" s="1355"/>
      <c r="AO743" s="1356"/>
      <c r="AT743"/>
      <c r="AU743"/>
      <c r="AV743"/>
      <c r="AW743"/>
      <c r="AX743"/>
      <c r="AY743" s="1087"/>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50">
        <f t="shared" si="37"/>
        <v>0</v>
      </c>
      <c r="CH743" s="1352"/>
      <c r="CI743" s="1334">
        <f t="shared" si="38"/>
        <v>0</v>
      </c>
      <c r="CJ743" s="1336"/>
      <c r="CK743" s="1350">
        <f t="shared" si="16"/>
        <v>0</v>
      </c>
      <c r="CL743" s="1352"/>
      <c r="CM743" s="1334">
        <f t="shared" si="17"/>
        <v>0</v>
      </c>
      <c r="CN743" s="1336"/>
      <c r="CP743" s="1331">
        <f t="shared" si="18"/>
        <v>0</v>
      </c>
      <c r="CQ743" s="1332"/>
      <c r="CR743" s="1332"/>
      <c r="CS743" s="1332"/>
      <c r="CT743" s="1333"/>
      <c r="CU743" s="1353">
        <f t="shared" si="19"/>
        <v>0</v>
      </c>
      <c r="CV743" s="1353"/>
      <c r="CW743" s="1353"/>
      <c r="CX743" s="1353"/>
      <c r="CY743" s="1353"/>
      <c r="CZ743" s="1353">
        <f t="shared" si="20"/>
        <v>0</v>
      </c>
      <c r="DA743" s="1353"/>
      <c r="DB743" s="1353"/>
      <c r="DC743" s="1353"/>
      <c r="DD743" s="1353"/>
      <c r="DE743" s="1353">
        <f t="shared" si="21"/>
        <v>0</v>
      </c>
      <c r="DF743" s="1353"/>
      <c r="DG743" s="1353"/>
      <c r="DH743" s="1353"/>
      <c r="DI743" s="1353"/>
      <c r="DJ743" s="1353">
        <f t="shared" si="22"/>
        <v>0</v>
      </c>
      <c r="DK743" s="1353"/>
      <c r="DL743" s="1353"/>
      <c r="DM743" s="1353"/>
      <c r="DN743" s="1353"/>
      <c r="DO743" s="1353">
        <f t="shared" si="23"/>
        <v>0</v>
      </c>
      <c r="DP743" s="1353"/>
      <c r="DQ743" s="1353"/>
      <c r="DR743" s="1353"/>
      <c r="DS743" s="1353"/>
      <c r="DT743" s="6"/>
      <c r="DU743" s="1367">
        <f t="shared" si="24"/>
        <v>0</v>
      </c>
      <c r="DV743" s="1367"/>
      <c r="DW743" s="1367"/>
      <c r="DX743" s="1367"/>
      <c r="DY743" s="1367"/>
      <c r="DZ743" s="1367">
        <f t="shared" si="25"/>
        <v>0</v>
      </c>
      <c r="EA743" s="1367"/>
      <c r="EB743" s="1367"/>
      <c r="EC743" s="1367"/>
      <c r="ED743" s="1367"/>
      <c r="EE743" s="1367">
        <f t="shared" si="26"/>
        <v>0</v>
      </c>
      <c r="EF743" s="1367"/>
      <c r="EG743" s="1367"/>
      <c r="EH743" s="1367"/>
      <c r="EI743" s="1367"/>
      <c r="EJ743" s="1367">
        <f t="shared" si="27"/>
        <v>0</v>
      </c>
      <c r="EK743" s="1367"/>
      <c r="EL743" s="1367"/>
      <c r="EM743" s="1367"/>
      <c r="EN743" s="1367"/>
      <c r="EO743" s="1367">
        <f t="shared" si="28"/>
        <v>0</v>
      </c>
      <c r="EP743" s="1367"/>
      <c r="EQ743" s="1367"/>
      <c r="ER743" s="1367"/>
      <c r="ES743" s="1367"/>
      <c r="ET743" s="1367">
        <f t="shared" si="29"/>
        <v>0</v>
      </c>
      <c r="EU743" s="1367"/>
      <c r="EV743" s="1367"/>
      <c r="EW743" s="1367"/>
      <c r="EX743" s="1367"/>
      <c r="EY743"/>
      <c r="EZ743" s="1350" t="str">
        <f t="shared" si="30"/>
        <v/>
      </c>
      <c r="FA743" s="1351"/>
      <c r="FB743" s="1351"/>
      <c r="FC743" s="1351"/>
      <c r="FD743" s="1352"/>
      <c r="FE743" s="1350" t="str">
        <f t="shared" si="31"/>
        <v/>
      </c>
      <c r="FF743" s="1351"/>
      <c r="FG743" s="1351"/>
      <c r="FH743" s="1351"/>
      <c r="FI743" s="1352"/>
      <c r="FJ743" s="1350" t="str">
        <f t="shared" si="32"/>
        <v/>
      </c>
      <c r="FK743" s="1351"/>
      <c r="FL743" s="1351"/>
      <c r="FM743" s="1351"/>
      <c r="FN743" s="1352"/>
      <c r="FO743" s="1350" t="str">
        <f t="shared" si="33"/>
        <v/>
      </c>
      <c r="FP743" s="1351"/>
      <c r="FQ743" s="1351"/>
      <c r="FR743" s="1351"/>
      <c r="FS743" s="1352"/>
      <c r="FT743" s="1350" t="str">
        <f t="shared" si="34"/>
        <v/>
      </c>
      <c r="FU743" s="1351"/>
      <c r="FV743" s="1351"/>
      <c r="FW743" s="1351"/>
      <c r="FX743" s="1352"/>
      <c r="FY743" s="1350" t="str">
        <f t="shared" si="35"/>
        <v/>
      </c>
      <c r="FZ743" s="1351"/>
      <c r="GA743" s="1351"/>
      <c r="GB743" s="1351"/>
      <c r="GC743" s="1352"/>
    </row>
    <row r="744" spans="1:185" ht="13.05" customHeight="1">
      <c r="B744" s="1354"/>
      <c r="C744" s="1355"/>
      <c r="D744" s="1355"/>
      <c r="E744" s="1355"/>
      <c r="F744" s="1356"/>
      <c r="G744" s="1363"/>
      <c r="H744" s="1364"/>
      <c r="I744" s="1364"/>
      <c r="J744" s="1365"/>
      <c r="K744" s="1598"/>
      <c r="L744" s="1599"/>
      <c r="M744" s="1599"/>
      <c r="N744" s="1600"/>
      <c r="O744" s="1467"/>
      <c r="P744" s="1468"/>
      <c r="Q744" s="1468"/>
      <c r="R744" s="1468"/>
      <c r="S744" s="1469"/>
      <c r="T744" s="1467"/>
      <c r="U744" s="1468"/>
      <c r="V744" s="1468"/>
      <c r="W744" s="1469"/>
      <c r="X744" s="1357">
        <f t="shared" si="39"/>
        <v>0</v>
      </c>
      <c r="Y744" s="1358"/>
      <c r="Z744" s="1358"/>
      <c r="AA744" s="1358"/>
      <c r="AB744" s="1359"/>
      <c r="AC744" s="1608"/>
      <c r="AD744" s="1609"/>
      <c r="AE744" s="1609"/>
      <c r="AF744" s="1609"/>
      <c r="AG744" s="1610"/>
      <c r="AH744" s="1360" t="str">
        <f t="shared" si="36"/>
        <v/>
      </c>
      <c r="AI744" s="1361"/>
      <c r="AJ744" s="1362"/>
      <c r="AK744" s="1354" t="s">
        <v>591</v>
      </c>
      <c r="AL744" s="1355"/>
      <c r="AM744" s="1355"/>
      <c r="AN744" s="1355"/>
      <c r="AO744" s="1356"/>
      <c r="AP744" s="3"/>
      <c r="AQ744" s="3"/>
      <c r="AR744" s="3"/>
      <c r="AS744" s="3"/>
      <c r="AY744" s="1087"/>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50">
        <f t="shared" si="37"/>
        <v>0</v>
      </c>
      <c r="CH744" s="1352"/>
      <c r="CI744" s="1334">
        <f t="shared" si="38"/>
        <v>0</v>
      </c>
      <c r="CJ744" s="1336"/>
      <c r="CK744" s="1350">
        <f t="shared" si="16"/>
        <v>0</v>
      </c>
      <c r="CL744" s="1352"/>
      <c r="CM744" s="1334">
        <f t="shared" si="17"/>
        <v>0</v>
      </c>
      <c r="CN744" s="1336"/>
      <c r="CO744" s="3"/>
      <c r="CP744" s="1331">
        <f t="shared" si="18"/>
        <v>0</v>
      </c>
      <c r="CQ744" s="1332"/>
      <c r="CR744" s="1332"/>
      <c r="CS744" s="1332"/>
      <c r="CT744" s="1333"/>
      <c r="CU744" s="1353">
        <f t="shared" si="19"/>
        <v>0</v>
      </c>
      <c r="CV744" s="1353"/>
      <c r="CW744" s="1353"/>
      <c r="CX744" s="1353"/>
      <c r="CY744" s="1353"/>
      <c r="CZ744" s="1353">
        <f t="shared" si="20"/>
        <v>0</v>
      </c>
      <c r="DA744" s="1353"/>
      <c r="DB744" s="1353"/>
      <c r="DC744" s="1353"/>
      <c r="DD744" s="1353"/>
      <c r="DE744" s="1353">
        <f t="shared" si="21"/>
        <v>0</v>
      </c>
      <c r="DF744" s="1353"/>
      <c r="DG744" s="1353"/>
      <c r="DH744" s="1353"/>
      <c r="DI744" s="1353"/>
      <c r="DJ744" s="1353">
        <f t="shared" si="22"/>
        <v>0</v>
      </c>
      <c r="DK744" s="1353"/>
      <c r="DL744" s="1353"/>
      <c r="DM744" s="1353"/>
      <c r="DN744" s="1353"/>
      <c r="DO744" s="1353">
        <f t="shared" si="23"/>
        <v>0</v>
      </c>
      <c r="DP744" s="1353"/>
      <c r="DQ744" s="1353"/>
      <c r="DR744" s="1353"/>
      <c r="DS744" s="1353"/>
      <c r="DT744" s="6"/>
      <c r="DU744" s="1367">
        <f t="shared" si="24"/>
        <v>0</v>
      </c>
      <c r="DV744" s="1367"/>
      <c r="DW744" s="1367"/>
      <c r="DX744" s="1367"/>
      <c r="DY744" s="1367"/>
      <c r="DZ744" s="1367">
        <f t="shared" si="25"/>
        <v>0</v>
      </c>
      <c r="EA744" s="1367"/>
      <c r="EB744" s="1367"/>
      <c r="EC744" s="1367"/>
      <c r="ED744" s="1367"/>
      <c r="EE744" s="1367">
        <f t="shared" si="26"/>
        <v>0</v>
      </c>
      <c r="EF744" s="1367"/>
      <c r="EG744" s="1367"/>
      <c r="EH744" s="1367"/>
      <c r="EI744" s="1367"/>
      <c r="EJ744" s="1367">
        <f t="shared" si="27"/>
        <v>0</v>
      </c>
      <c r="EK744" s="1367"/>
      <c r="EL744" s="1367"/>
      <c r="EM744" s="1367"/>
      <c r="EN744" s="1367"/>
      <c r="EO744" s="1367">
        <f t="shared" si="28"/>
        <v>0</v>
      </c>
      <c r="EP744" s="1367"/>
      <c r="EQ744" s="1367"/>
      <c r="ER744" s="1367"/>
      <c r="ES744" s="1367"/>
      <c r="ET744" s="1367">
        <f t="shared" si="29"/>
        <v>0</v>
      </c>
      <c r="EU744" s="1367"/>
      <c r="EV744" s="1367"/>
      <c r="EW744" s="1367"/>
      <c r="EX744" s="1367"/>
      <c r="EZ744" s="1350" t="str">
        <f t="shared" si="30"/>
        <v/>
      </c>
      <c r="FA744" s="1351"/>
      <c r="FB744" s="1351"/>
      <c r="FC744" s="1351"/>
      <c r="FD744" s="1352"/>
      <c r="FE744" s="1350" t="str">
        <f t="shared" si="31"/>
        <v/>
      </c>
      <c r="FF744" s="1351"/>
      <c r="FG744" s="1351"/>
      <c r="FH744" s="1351"/>
      <c r="FI744" s="1352"/>
      <c r="FJ744" s="1350" t="str">
        <f t="shared" si="32"/>
        <v/>
      </c>
      <c r="FK744" s="1351"/>
      <c r="FL744" s="1351"/>
      <c r="FM744" s="1351"/>
      <c r="FN744" s="1352"/>
      <c r="FO744" s="1350" t="str">
        <f t="shared" si="33"/>
        <v/>
      </c>
      <c r="FP744" s="1351"/>
      <c r="FQ744" s="1351"/>
      <c r="FR744" s="1351"/>
      <c r="FS744" s="1352"/>
      <c r="FT744" s="1350" t="str">
        <f t="shared" si="34"/>
        <v/>
      </c>
      <c r="FU744" s="1351"/>
      <c r="FV744" s="1351"/>
      <c r="FW744" s="1351"/>
      <c r="FX744" s="1352"/>
      <c r="FY744" s="1350" t="str">
        <f t="shared" si="35"/>
        <v/>
      </c>
      <c r="FZ744" s="1351"/>
      <c r="GA744" s="1351"/>
      <c r="GB744" s="1351"/>
      <c r="GC744" s="1352"/>
    </row>
    <row r="745" spans="1:185" ht="13.05" customHeight="1">
      <c r="B745" s="1354"/>
      <c r="C745" s="1355"/>
      <c r="D745" s="1355"/>
      <c r="E745" s="1355"/>
      <c r="F745" s="1356"/>
      <c r="G745" s="1363"/>
      <c r="H745" s="1364"/>
      <c r="I745" s="1364"/>
      <c r="J745" s="1365"/>
      <c r="K745" s="1598"/>
      <c r="L745" s="1599"/>
      <c r="M745" s="1599"/>
      <c r="N745" s="1600"/>
      <c r="O745" s="1467"/>
      <c r="P745" s="1468"/>
      <c r="Q745" s="1468"/>
      <c r="R745" s="1468"/>
      <c r="S745" s="1469"/>
      <c r="T745" s="1467"/>
      <c r="U745" s="1468"/>
      <c r="V745" s="1468"/>
      <c r="W745" s="1469"/>
      <c r="X745" s="1357">
        <f t="shared" si="39"/>
        <v>0</v>
      </c>
      <c r="Y745" s="1358"/>
      <c r="Z745" s="1358"/>
      <c r="AA745" s="1358"/>
      <c r="AB745" s="1359"/>
      <c r="AC745" s="1608"/>
      <c r="AD745" s="1609"/>
      <c r="AE745" s="1609"/>
      <c r="AF745" s="1609"/>
      <c r="AG745" s="1610"/>
      <c r="AH745" s="1360" t="str">
        <f t="shared" si="36"/>
        <v/>
      </c>
      <c r="AI745" s="1361"/>
      <c r="AJ745" s="1362"/>
      <c r="AK745" s="1354" t="s">
        <v>591</v>
      </c>
      <c r="AL745" s="1355"/>
      <c r="AM745" s="1355"/>
      <c r="AN745" s="1355"/>
      <c r="AO745" s="1356"/>
      <c r="AP745" s="3"/>
      <c r="AQ745" s="3"/>
      <c r="AR745" s="3"/>
      <c r="AS745" s="3"/>
      <c r="AY745" s="1087"/>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50">
        <f t="shared" si="37"/>
        <v>0</v>
      </c>
      <c r="CH745" s="1352"/>
      <c r="CI745" s="1334">
        <f t="shared" si="38"/>
        <v>0</v>
      </c>
      <c r="CJ745" s="1336"/>
      <c r="CK745" s="1350">
        <f t="shared" si="16"/>
        <v>0</v>
      </c>
      <c r="CL745" s="1352"/>
      <c r="CM745" s="1334">
        <f t="shared" si="17"/>
        <v>0</v>
      </c>
      <c r="CN745" s="1336"/>
      <c r="CO745" s="3"/>
      <c r="CP745" s="1331">
        <f t="shared" si="18"/>
        <v>0</v>
      </c>
      <c r="CQ745" s="1332"/>
      <c r="CR745" s="1332"/>
      <c r="CS745" s="1332"/>
      <c r="CT745" s="1333"/>
      <c r="CU745" s="1353">
        <f t="shared" si="19"/>
        <v>0</v>
      </c>
      <c r="CV745" s="1353"/>
      <c r="CW745" s="1353"/>
      <c r="CX745" s="1353"/>
      <c r="CY745" s="1353"/>
      <c r="CZ745" s="1353">
        <f t="shared" si="20"/>
        <v>0</v>
      </c>
      <c r="DA745" s="1353"/>
      <c r="DB745" s="1353"/>
      <c r="DC745" s="1353"/>
      <c r="DD745" s="1353"/>
      <c r="DE745" s="1353">
        <f t="shared" si="21"/>
        <v>0</v>
      </c>
      <c r="DF745" s="1353"/>
      <c r="DG745" s="1353"/>
      <c r="DH745" s="1353"/>
      <c r="DI745" s="1353"/>
      <c r="DJ745" s="1353">
        <f t="shared" si="22"/>
        <v>0</v>
      </c>
      <c r="DK745" s="1353"/>
      <c r="DL745" s="1353"/>
      <c r="DM745" s="1353"/>
      <c r="DN745" s="1353"/>
      <c r="DO745" s="1353">
        <f t="shared" si="23"/>
        <v>0</v>
      </c>
      <c r="DP745" s="1353"/>
      <c r="DQ745" s="1353"/>
      <c r="DR745" s="1353"/>
      <c r="DS745" s="1353"/>
      <c r="DT745" s="6"/>
      <c r="DU745" s="1367">
        <f t="shared" si="24"/>
        <v>0</v>
      </c>
      <c r="DV745" s="1367"/>
      <c r="DW745" s="1367"/>
      <c r="DX745" s="1367"/>
      <c r="DY745" s="1367"/>
      <c r="DZ745" s="1367">
        <f t="shared" si="25"/>
        <v>0</v>
      </c>
      <c r="EA745" s="1367"/>
      <c r="EB745" s="1367"/>
      <c r="EC745" s="1367"/>
      <c r="ED745" s="1367"/>
      <c r="EE745" s="1367">
        <f t="shared" si="26"/>
        <v>0</v>
      </c>
      <c r="EF745" s="1367"/>
      <c r="EG745" s="1367"/>
      <c r="EH745" s="1367"/>
      <c r="EI745" s="1367"/>
      <c r="EJ745" s="1367">
        <f t="shared" si="27"/>
        <v>0</v>
      </c>
      <c r="EK745" s="1367"/>
      <c r="EL745" s="1367"/>
      <c r="EM745" s="1367"/>
      <c r="EN745" s="1367"/>
      <c r="EO745" s="1367">
        <f t="shared" si="28"/>
        <v>0</v>
      </c>
      <c r="EP745" s="1367"/>
      <c r="EQ745" s="1367"/>
      <c r="ER745" s="1367"/>
      <c r="ES745" s="1367"/>
      <c r="ET745" s="1367">
        <f t="shared" si="29"/>
        <v>0</v>
      </c>
      <c r="EU745" s="1367"/>
      <c r="EV745" s="1367"/>
      <c r="EW745" s="1367"/>
      <c r="EX745" s="1367"/>
      <c r="EZ745" s="1350" t="str">
        <f t="shared" si="30"/>
        <v/>
      </c>
      <c r="FA745" s="1351"/>
      <c r="FB745" s="1351"/>
      <c r="FC745" s="1351"/>
      <c r="FD745" s="1352"/>
      <c r="FE745" s="1350" t="str">
        <f t="shared" si="31"/>
        <v/>
      </c>
      <c r="FF745" s="1351"/>
      <c r="FG745" s="1351"/>
      <c r="FH745" s="1351"/>
      <c r="FI745" s="1352"/>
      <c r="FJ745" s="1350" t="str">
        <f t="shared" si="32"/>
        <v/>
      </c>
      <c r="FK745" s="1351"/>
      <c r="FL745" s="1351"/>
      <c r="FM745" s="1351"/>
      <c r="FN745" s="1352"/>
      <c r="FO745" s="1350" t="str">
        <f t="shared" si="33"/>
        <v/>
      </c>
      <c r="FP745" s="1351"/>
      <c r="FQ745" s="1351"/>
      <c r="FR745" s="1351"/>
      <c r="FS745" s="1352"/>
      <c r="FT745" s="1350" t="str">
        <f t="shared" si="34"/>
        <v/>
      </c>
      <c r="FU745" s="1351"/>
      <c r="FV745" s="1351"/>
      <c r="FW745" s="1351"/>
      <c r="FX745" s="1352"/>
      <c r="FY745" s="1350" t="str">
        <f t="shared" si="35"/>
        <v/>
      </c>
      <c r="FZ745" s="1351"/>
      <c r="GA745" s="1351"/>
      <c r="GB745" s="1351"/>
      <c r="GC745" s="1352"/>
    </row>
    <row r="746" spans="1:185" ht="13.05" customHeight="1">
      <c r="B746" s="1354"/>
      <c r="C746" s="1355"/>
      <c r="D746" s="1355"/>
      <c r="E746" s="1355"/>
      <c r="F746" s="1356"/>
      <c r="G746" s="1363"/>
      <c r="H746" s="1364"/>
      <c r="I746" s="1364"/>
      <c r="J746" s="1365"/>
      <c r="K746" s="1598"/>
      <c r="L746" s="1599"/>
      <c r="M746" s="1599"/>
      <c r="N746" s="1600"/>
      <c r="O746" s="1467"/>
      <c r="P746" s="1468"/>
      <c r="Q746" s="1468"/>
      <c r="R746" s="1468"/>
      <c r="S746" s="1469"/>
      <c r="T746" s="1467"/>
      <c r="U746" s="1468"/>
      <c r="V746" s="1468"/>
      <c r="W746" s="1469"/>
      <c r="X746" s="1357">
        <f t="shared" si="39"/>
        <v>0</v>
      </c>
      <c r="Y746" s="1358"/>
      <c r="Z746" s="1358"/>
      <c r="AA746" s="1358"/>
      <c r="AB746" s="1359"/>
      <c r="AC746" s="1608"/>
      <c r="AD746" s="1609"/>
      <c r="AE746" s="1609"/>
      <c r="AF746" s="1609"/>
      <c r="AG746" s="1610"/>
      <c r="AH746" s="1360" t="str">
        <f t="shared" si="36"/>
        <v/>
      </c>
      <c r="AI746" s="1361"/>
      <c r="AJ746" s="1362"/>
      <c r="AK746" s="1354" t="s">
        <v>591</v>
      </c>
      <c r="AL746" s="1355"/>
      <c r="AM746" s="1355"/>
      <c r="AN746" s="1355"/>
      <c r="AO746" s="1356"/>
      <c r="AP746" s="3"/>
      <c r="AQ746" s="3"/>
      <c r="AR746" s="3"/>
      <c r="AS746" s="3"/>
      <c r="AY746" s="1087"/>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50">
        <f t="shared" si="37"/>
        <v>0</v>
      </c>
      <c r="CH746" s="1352"/>
      <c r="CI746" s="1334">
        <f t="shared" si="38"/>
        <v>0</v>
      </c>
      <c r="CJ746" s="1336"/>
      <c r="CK746" s="1350">
        <f t="shared" si="16"/>
        <v>0</v>
      </c>
      <c r="CL746" s="1352"/>
      <c r="CM746" s="1334">
        <f t="shared" si="17"/>
        <v>0</v>
      </c>
      <c r="CN746" s="1336"/>
      <c r="CO746" s="3"/>
      <c r="CP746" s="1331">
        <f t="shared" si="18"/>
        <v>0</v>
      </c>
      <c r="CQ746" s="1332"/>
      <c r="CR746" s="1332"/>
      <c r="CS746" s="1332"/>
      <c r="CT746" s="1333"/>
      <c r="CU746" s="1353">
        <f t="shared" si="19"/>
        <v>0</v>
      </c>
      <c r="CV746" s="1353"/>
      <c r="CW746" s="1353"/>
      <c r="CX746" s="1353"/>
      <c r="CY746" s="1353"/>
      <c r="CZ746" s="1353">
        <f t="shared" si="20"/>
        <v>0</v>
      </c>
      <c r="DA746" s="1353"/>
      <c r="DB746" s="1353"/>
      <c r="DC746" s="1353"/>
      <c r="DD746" s="1353"/>
      <c r="DE746" s="1353">
        <f t="shared" si="21"/>
        <v>0</v>
      </c>
      <c r="DF746" s="1353"/>
      <c r="DG746" s="1353"/>
      <c r="DH746" s="1353"/>
      <c r="DI746" s="1353"/>
      <c r="DJ746" s="1353">
        <f t="shared" si="22"/>
        <v>0</v>
      </c>
      <c r="DK746" s="1353"/>
      <c r="DL746" s="1353"/>
      <c r="DM746" s="1353"/>
      <c r="DN746" s="1353"/>
      <c r="DO746" s="1353">
        <f t="shared" si="23"/>
        <v>0</v>
      </c>
      <c r="DP746" s="1353"/>
      <c r="DQ746" s="1353"/>
      <c r="DR746" s="1353"/>
      <c r="DS746" s="1353"/>
      <c r="DT746" s="6"/>
      <c r="DU746" s="1367">
        <f t="shared" si="24"/>
        <v>0</v>
      </c>
      <c r="DV746" s="1367"/>
      <c r="DW746" s="1367"/>
      <c r="DX746" s="1367"/>
      <c r="DY746" s="1367"/>
      <c r="DZ746" s="1367">
        <f t="shared" si="25"/>
        <v>0</v>
      </c>
      <c r="EA746" s="1367"/>
      <c r="EB746" s="1367"/>
      <c r="EC746" s="1367"/>
      <c r="ED746" s="1367"/>
      <c r="EE746" s="1367">
        <f t="shared" si="26"/>
        <v>0</v>
      </c>
      <c r="EF746" s="1367"/>
      <c r="EG746" s="1367"/>
      <c r="EH746" s="1367"/>
      <c r="EI746" s="1367"/>
      <c r="EJ746" s="1367">
        <f t="shared" si="27"/>
        <v>0</v>
      </c>
      <c r="EK746" s="1367"/>
      <c r="EL746" s="1367"/>
      <c r="EM746" s="1367"/>
      <c r="EN746" s="1367"/>
      <c r="EO746" s="1367">
        <f t="shared" si="28"/>
        <v>0</v>
      </c>
      <c r="EP746" s="1367"/>
      <c r="EQ746" s="1367"/>
      <c r="ER746" s="1367"/>
      <c r="ES746" s="1367"/>
      <c r="ET746" s="1367">
        <f t="shared" si="29"/>
        <v>0</v>
      </c>
      <c r="EU746" s="1367"/>
      <c r="EV746" s="1367"/>
      <c r="EW746" s="1367"/>
      <c r="EX746" s="1367"/>
      <c r="EZ746" s="1350" t="str">
        <f t="shared" si="30"/>
        <v/>
      </c>
      <c r="FA746" s="1351"/>
      <c r="FB746" s="1351"/>
      <c r="FC746" s="1351"/>
      <c r="FD746" s="1352"/>
      <c r="FE746" s="1350" t="str">
        <f t="shared" si="31"/>
        <v/>
      </c>
      <c r="FF746" s="1351"/>
      <c r="FG746" s="1351"/>
      <c r="FH746" s="1351"/>
      <c r="FI746" s="1352"/>
      <c r="FJ746" s="1350" t="str">
        <f t="shared" si="32"/>
        <v/>
      </c>
      <c r="FK746" s="1351"/>
      <c r="FL746" s="1351"/>
      <c r="FM746" s="1351"/>
      <c r="FN746" s="1352"/>
      <c r="FO746" s="1350" t="str">
        <f t="shared" si="33"/>
        <v/>
      </c>
      <c r="FP746" s="1351"/>
      <c r="FQ746" s="1351"/>
      <c r="FR746" s="1351"/>
      <c r="FS746" s="1352"/>
      <c r="FT746" s="1350" t="str">
        <f t="shared" si="34"/>
        <v/>
      </c>
      <c r="FU746" s="1351"/>
      <c r="FV746" s="1351"/>
      <c r="FW746" s="1351"/>
      <c r="FX746" s="1352"/>
      <c r="FY746" s="1350" t="str">
        <f t="shared" si="35"/>
        <v/>
      </c>
      <c r="FZ746" s="1351"/>
      <c r="GA746" s="1351"/>
      <c r="GB746" s="1351"/>
      <c r="GC746" s="1352"/>
    </row>
    <row r="747" spans="1:185" ht="13.05" customHeight="1">
      <c r="B747" s="1354"/>
      <c r="C747" s="1355"/>
      <c r="D747" s="1355"/>
      <c r="E747" s="1355"/>
      <c r="F747" s="1356"/>
      <c r="G747" s="1363"/>
      <c r="H747" s="1364"/>
      <c r="I747" s="1364"/>
      <c r="J747" s="1365"/>
      <c r="K747" s="1598"/>
      <c r="L747" s="1599"/>
      <c r="M747" s="1599"/>
      <c r="N747" s="1600"/>
      <c r="O747" s="1467"/>
      <c r="P747" s="1468"/>
      <c r="Q747" s="1468"/>
      <c r="R747" s="1468"/>
      <c r="S747" s="1469"/>
      <c r="T747" s="1467"/>
      <c r="U747" s="1468"/>
      <c r="V747" s="1468"/>
      <c r="W747" s="1469"/>
      <c r="X747" s="1357">
        <f t="shared" si="39"/>
        <v>0</v>
      </c>
      <c r="Y747" s="1358"/>
      <c r="Z747" s="1358"/>
      <c r="AA747" s="1358"/>
      <c r="AB747" s="1359"/>
      <c r="AC747" s="1608"/>
      <c r="AD747" s="1609"/>
      <c r="AE747" s="1609"/>
      <c r="AF747" s="1609"/>
      <c r="AG747" s="1610"/>
      <c r="AH747" s="1360" t="str">
        <f t="shared" si="36"/>
        <v/>
      </c>
      <c r="AI747" s="1361"/>
      <c r="AJ747" s="1362"/>
      <c r="AK747" s="1354" t="s">
        <v>591</v>
      </c>
      <c r="AL747" s="1355"/>
      <c r="AM747" s="1355"/>
      <c r="AN747" s="1355"/>
      <c r="AO747" s="1356"/>
      <c r="AP747" s="3"/>
      <c r="AQ747" s="3"/>
      <c r="AR747" s="3"/>
      <c r="AS747" s="3"/>
      <c r="AY747" s="1087"/>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50">
        <f t="shared" si="37"/>
        <v>0</v>
      </c>
      <c r="CH747" s="1352"/>
      <c r="CI747" s="1334">
        <f t="shared" si="38"/>
        <v>0</v>
      </c>
      <c r="CJ747" s="1336"/>
      <c r="CK747" s="1350">
        <f t="shared" si="16"/>
        <v>0</v>
      </c>
      <c r="CL747" s="1352"/>
      <c r="CM747" s="1334">
        <f t="shared" si="17"/>
        <v>0</v>
      </c>
      <c r="CN747" s="1336"/>
      <c r="CO747" s="3"/>
      <c r="CP747" s="1331">
        <f t="shared" si="18"/>
        <v>0</v>
      </c>
      <c r="CQ747" s="1332"/>
      <c r="CR747" s="1332"/>
      <c r="CS747" s="1332"/>
      <c r="CT747" s="1333"/>
      <c r="CU747" s="1353">
        <f t="shared" si="19"/>
        <v>0</v>
      </c>
      <c r="CV747" s="1353"/>
      <c r="CW747" s="1353"/>
      <c r="CX747" s="1353"/>
      <c r="CY747" s="1353"/>
      <c r="CZ747" s="1353">
        <f t="shared" si="20"/>
        <v>0</v>
      </c>
      <c r="DA747" s="1353"/>
      <c r="DB747" s="1353"/>
      <c r="DC747" s="1353"/>
      <c r="DD747" s="1353"/>
      <c r="DE747" s="1353">
        <f t="shared" si="21"/>
        <v>0</v>
      </c>
      <c r="DF747" s="1353"/>
      <c r="DG747" s="1353"/>
      <c r="DH747" s="1353"/>
      <c r="DI747" s="1353"/>
      <c r="DJ747" s="1353">
        <f t="shared" si="22"/>
        <v>0</v>
      </c>
      <c r="DK747" s="1353"/>
      <c r="DL747" s="1353"/>
      <c r="DM747" s="1353"/>
      <c r="DN747" s="1353"/>
      <c r="DO747" s="1353">
        <f t="shared" si="23"/>
        <v>0</v>
      </c>
      <c r="DP747" s="1353"/>
      <c r="DQ747" s="1353"/>
      <c r="DR747" s="1353"/>
      <c r="DS747" s="1353"/>
      <c r="DT747" s="6"/>
      <c r="DU747" s="1367">
        <f t="shared" si="24"/>
        <v>0</v>
      </c>
      <c r="DV747" s="1367"/>
      <c r="DW747" s="1367"/>
      <c r="DX747" s="1367"/>
      <c r="DY747" s="1367"/>
      <c r="DZ747" s="1367">
        <f t="shared" si="25"/>
        <v>0</v>
      </c>
      <c r="EA747" s="1367"/>
      <c r="EB747" s="1367"/>
      <c r="EC747" s="1367"/>
      <c r="ED747" s="1367"/>
      <c r="EE747" s="1367">
        <f t="shared" si="26"/>
        <v>0</v>
      </c>
      <c r="EF747" s="1367"/>
      <c r="EG747" s="1367"/>
      <c r="EH747" s="1367"/>
      <c r="EI747" s="1367"/>
      <c r="EJ747" s="1367">
        <f t="shared" si="27"/>
        <v>0</v>
      </c>
      <c r="EK747" s="1367"/>
      <c r="EL747" s="1367"/>
      <c r="EM747" s="1367"/>
      <c r="EN747" s="1367"/>
      <c r="EO747" s="1367">
        <f t="shared" si="28"/>
        <v>0</v>
      </c>
      <c r="EP747" s="1367"/>
      <c r="EQ747" s="1367"/>
      <c r="ER747" s="1367"/>
      <c r="ES747" s="1367"/>
      <c r="ET747" s="1367">
        <f t="shared" si="29"/>
        <v>0</v>
      </c>
      <c r="EU747" s="1367"/>
      <c r="EV747" s="1367"/>
      <c r="EW747" s="1367"/>
      <c r="EX747" s="1367"/>
      <c r="EZ747" s="1350" t="str">
        <f t="shared" si="30"/>
        <v/>
      </c>
      <c r="FA747" s="1351"/>
      <c r="FB747" s="1351"/>
      <c r="FC747" s="1351"/>
      <c r="FD747" s="1352"/>
      <c r="FE747" s="1350" t="str">
        <f t="shared" si="31"/>
        <v/>
      </c>
      <c r="FF747" s="1351"/>
      <c r="FG747" s="1351"/>
      <c r="FH747" s="1351"/>
      <c r="FI747" s="1352"/>
      <c r="FJ747" s="1350" t="str">
        <f t="shared" si="32"/>
        <v/>
      </c>
      <c r="FK747" s="1351"/>
      <c r="FL747" s="1351"/>
      <c r="FM747" s="1351"/>
      <c r="FN747" s="1352"/>
      <c r="FO747" s="1350" t="str">
        <f t="shared" si="33"/>
        <v/>
      </c>
      <c r="FP747" s="1351"/>
      <c r="FQ747" s="1351"/>
      <c r="FR747" s="1351"/>
      <c r="FS747" s="1352"/>
      <c r="FT747" s="1350" t="str">
        <f t="shared" si="34"/>
        <v/>
      </c>
      <c r="FU747" s="1351"/>
      <c r="FV747" s="1351"/>
      <c r="FW747" s="1351"/>
      <c r="FX747" s="1352"/>
      <c r="FY747" s="1350" t="str">
        <f t="shared" si="35"/>
        <v/>
      </c>
      <c r="FZ747" s="1351"/>
      <c r="GA747" s="1351"/>
      <c r="GB747" s="1351"/>
      <c r="GC747" s="1352"/>
    </row>
    <row r="748" spans="1:185" s="3" customFormat="1" ht="13.05" customHeight="1">
      <c r="A748"/>
      <c r="B748" s="1354"/>
      <c r="C748" s="1355"/>
      <c r="D748" s="1355"/>
      <c r="E748" s="1355"/>
      <c r="F748" s="1356"/>
      <c r="G748" s="1363"/>
      <c r="H748" s="1364"/>
      <c r="I748" s="1364"/>
      <c r="J748" s="1365"/>
      <c r="K748" s="1598"/>
      <c r="L748" s="1599"/>
      <c r="M748" s="1599"/>
      <c r="N748" s="1600"/>
      <c r="O748" s="1467"/>
      <c r="P748" s="1468"/>
      <c r="Q748" s="1468"/>
      <c r="R748" s="1468"/>
      <c r="S748" s="1469"/>
      <c r="T748" s="1467"/>
      <c r="U748" s="1468"/>
      <c r="V748" s="1468"/>
      <c r="W748" s="1469"/>
      <c r="X748" s="1357">
        <f t="shared" si="39"/>
        <v>0</v>
      </c>
      <c r="Y748" s="1358"/>
      <c r="Z748" s="1358"/>
      <c r="AA748" s="1358"/>
      <c r="AB748" s="1359"/>
      <c r="AC748" s="1608"/>
      <c r="AD748" s="1609"/>
      <c r="AE748" s="1609"/>
      <c r="AF748" s="1609"/>
      <c r="AG748" s="1610"/>
      <c r="AH748" s="1360" t="str">
        <f t="shared" si="36"/>
        <v/>
      </c>
      <c r="AI748" s="1361"/>
      <c r="AJ748" s="1362"/>
      <c r="AK748" s="1354" t="s">
        <v>591</v>
      </c>
      <c r="AL748" s="1355"/>
      <c r="AM748" s="1355"/>
      <c r="AN748" s="1355"/>
      <c r="AO748" s="1356"/>
      <c r="AT748"/>
      <c r="AU748"/>
      <c r="AV748"/>
      <c r="AW748"/>
      <c r="AX748"/>
      <c r="AY748" s="1087"/>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50">
        <f t="shared" si="37"/>
        <v>0</v>
      </c>
      <c r="CH748" s="1352"/>
      <c r="CI748" s="1334">
        <f t="shared" si="38"/>
        <v>0</v>
      </c>
      <c r="CJ748" s="1336"/>
      <c r="CK748" s="1350">
        <f t="shared" si="16"/>
        <v>0</v>
      </c>
      <c r="CL748" s="1352"/>
      <c r="CM748" s="1334">
        <f t="shared" si="17"/>
        <v>0</v>
      </c>
      <c r="CN748" s="1336"/>
      <c r="CP748" s="1331">
        <f t="shared" si="18"/>
        <v>0</v>
      </c>
      <c r="CQ748" s="1332"/>
      <c r="CR748" s="1332"/>
      <c r="CS748" s="1332"/>
      <c r="CT748" s="1333"/>
      <c r="CU748" s="1353">
        <f t="shared" si="19"/>
        <v>0</v>
      </c>
      <c r="CV748" s="1353"/>
      <c r="CW748" s="1353"/>
      <c r="CX748" s="1353"/>
      <c r="CY748" s="1353"/>
      <c r="CZ748" s="1353">
        <f t="shared" si="20"/>
        <v>0</v>
      </c>
      <c r="DA748" s="1353"/>
      <c r="DB748" s="1353"/>
      <c r="DC748" s="1353"/>
      <c r="DD748" s="1353"/>
      <c r="DE748" s="1353">
        <f t="shared" si="21"/>
        <v>0</v>
      </c>
      <c r="DF748" s="1353"/>
      <c r="DG748" s="1353"/>
      <c r="DH748" s="1353"/>
      <c r="DI748" s="1353"/>
      <c r="DJ748" s="1353">
        <f t="shared" si="22"/>
        <v>0</v>
      </c>
      <c r="DK748" s="1353"/>
      <c r="DL748" s="1353"/>
      <c r="DM748" s="1353"/>
      <c r="DN748" s="1353"/>
      <c r="DO748" s="1353">
        <f t="shared" si="23"/>
        <v>0</v>
      </c>
      <c r="DP748" s="1353"/>
      <c r="DQ748" s="1353"/>
      <c r="DR748" s="1353"/>
      <c r="DS748" s="1353"/>
      <c r="DT748" s="6"/>
      <c r="DU748" s="1367">
        <f t="shared" si="24"/>
        <v>0</v>
      </c>
      <c r="DV748" s="1367"/>
      <c r="DW748" s="1367"/>
      <c r="DX748" s="1367"/>
      <c r="DY748" s="1367"/>
      <c r="DZ748" s="1367">
        <f t="shared" si="25"/>
        <v>0</v>
      </c>
      <c r="EA748" s="1367"/>
      <c r="EB748" s="1367"/>
      <c r="EC748" s="1367"/>
      <c r="ED748" s="1367"/>
      <c r="EE748" s="1367">
        <f t="shared" si="26"/>
        <v>0</v>
      </c>
      <c r="EF748" s="1367"/>
      <c r="EG748" s="1367"/>
      <c r="EH748" s="1367"/>
      <c r="EI748" s="1367"/>
      <c r="EJ748" s="1367">
        <f t="shared" si="27"/>
        <v>0</v>
      </c>
      <c r="EK748" s="1367"/>
      <c r="EL748" s="1367"/>
      <c r="EM748" s="1367"/>
      <c r="EN748" s="1367"/>
      <c r="EO748" s="1367">
        <f t="shared" si="28"/>
        <v>0</v>
      </c>
      <c r="EP748" s="1367"/>
      <c r="EQ748" s="1367"/>
      <c r="ER748" s="1367"/>
      <c r="ES748" s="1367"/>
      <c r="ET748" s="1367">
        <f t="shared" si="29"/>
        <v>0</v>
      </c>
      <c r="EU748" s="1367"/>
      <c r="EV748" s="1367"/>
      <c r="EW748" s="1367"/>
      <c r="EX748" s="1367"/>
      <c r="EY748"/>
      <c r="EZ748" s="1350" t="str">
        <f t="shared" si="30"/>
        <v/>
      </c>
      <c r="FA748" s="1351"/>
      <c r="FB748" s="1351"/>
      <c r="FC748" s="1351"/>
      <c r="FD748" s="1352"/>
      <c r="FE748" s="1350" t="str">
        <f t="shared" si="31"/>
        <v/>
      </c>
      <c r="FF748" s="1351"/>
      <c r="FG748" s="1351"/>
      <c r="FH748" s="1351"/>
      <c r="FI748" s="1352"/>
      <c r="FJ748" s="1350" t="str">
        <f t="shared" si="32"/>
        <v/>
      </c>
      <c r="FK748" s="1351"/>
      <c r="FL748" s="1351"/>
      <c r="FM748" s="1351"/>
      <c r="FN748" s="1352"/>
      <c r="FO748" s="1350" t="str">
        <f t="shared" si="33"/>
        <v/>
      </c>
      <c r="FP748" s="1351"/>
      <c r="FQ748" s="1351"/>
      <c r="FR748" s="1351"/>
      <c r="FS748" s="1352"/>
      <c r="FT748" s="1350" t="str">
        <f t="shared" si="34"/>
        <v/>
      </c>
      <c r="FU748" s="1351"/>
      <c r="FV748" s="1351"/>
      <c r="FW748" s="1351"/>
      <c r="FX748" s="1352"/>
      <c r="FY748" s="1350" t="str">
        <f t="shared" si="35"/>
        <v/>
      </c>
      <c r="FZ748" s="1351"/>
      <c r="GA748" s="1351"/>
      <c r="GB748" s="1351"/>
      <c r="GC748" s="1352"/>
    </row>
    <row r="749" spans="1:185" s="3" customFormat="1" ht="13.05" customHeight="1">
      <c r="A749"/>
      <c r="B749" s="1354"/>
      <c r="C749" s="1355"/>
      <c r="D749" s="1355"/>
      <c r="E749" s="1355"/>
      <c r="F749" s="1356"/>
      <c r="G749" s="1363"/>
      <c r="H749" s="1364"/>
      <c r="I749" s="1364"/>
      <c r="J749" s="1365"/>
      <c r="K749" s="1598"/>
      <c r="L749" s="1599"/>
      <c r="M749" s="1599"/>
      <c r="N749" s="1600"/>
      <c r="O749" s="1467"/>
      <c r="P749" s="1468"/>
      <c r="Q749" s="1468"/>
      <c r="R749" s="1468"/>
      <c r="S749" s="1469"/>
      <c r="T749" s="1467"/>
      <c r="U749" s="1468"/>
      <c r="V749" s="1468"/>
      <c r="W749" s="1469"/>
      <c r="X749" s="1357">
        <f t="shared" si="39"/>
        <v>0</v>
      </c>
      <c r="Y749" s="1358"/>
      <c r="Z749" s="1358"/>
      <c r="AA749" s="1358"/>
      <c r="AB749" s="1359"/>
      <c r="AC749" s="1608"/>
      <c r="AD749" s="1609"/>
      <c r="AE749" s="1609"/>
      <c r="AF749" s="1609"/>
      <c r="AG749" s="1610"/>
      <c r="AH749" s="1360" t="str">
        <f t="shared" si="36"/>
        <v/>
      </c>
      <c r="AI749" s="1361"/>
      <c r="AJ749" s="1362"/>
      <c r="AK749" s="1354" t="s">
        <v>591</v>
      </c>
      <c r="AL749" s="1355"/>
      <c r="AM749" s="1355"/>
      <c r="AN749" s="1355"/>
      <c r="AO749" s="1356"/>
      <c r="AT749"/>
      <c r="AU749"/>
      <c r="AV749"/>
      <c r="AW749"/>
      <c r="AX749"/>
      <c r="AY749" s="1087"/>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50">
        <f t="shared" si="37"/>
        <v>0</v>
      </c>
      <c r="CH749" s="1352"/>
      <c r="CI749" s="1334">
        <f t="shared" si="38"/>
        <v>0</v>
      </c>
      <c r="CJ749" s="1336"/>
      <c r="CK749" s="1350">
        <f t="shared" si="16"/>
        <v>0</v>
      </c>
      <c r="CL749" s="1352"/>
      <c r="CM749" s="1334">
        <f t="shared" si="17"/>
        <v>0</v>
      </c>
      <c r="CN749" s="1336"/>
      <c r="CP749" s="1331">
        <f t="shared" si="18"/>
        <v>0</v>
      </c>
      <c r="CQ749" s="1332"/>
      <c r="CR749" s="1332"/>
      <c r="CS749" s="1332"/>
      <c r="CT749" s="1333"/>
      <c r="CU749" s="1353">
        <f t="shared" si="19"/>
        <v>0</v>
      </c>
      <c r="CV749" s="1353"/>
      <c r="CW749" s="1353"/>
      <c r="CX749" s="1353"/>
      <c r="CY749" s="1353"/>
      <c r="CZ749" s="1353">
        <f t="shared" si="20"/>
        <v>0</v>
      </c>
      <c r="DA749" s="1353"/>
      <c r="DB749" s="1353"/>
      <c r="DC749" s="1353"/>
      <c r="DD749" s="1353"/>
      <c r="DE749" s="1353">
        <f t="shared" si="21"/>
        <v>0</v>
      </c>
      <c r="DF749" s="1353"/>
      <c r="DG749" s="1353"/>
      <c r="DH749" s="1353"/>
      <c r="DI749" s="1353"/>
      <c r="DJ749" s="1353">
        <f t="shared" si="22"/>
        <v>0</v>
      </c>
      <c r="DK749" s="1353"/>
      <c r="DL749" s="1353"/>
      <c r="DM749" s="1353"/>
      <c r="DN749" s="1353"/>
      <c r="DO749" s="1353">
        <f t="shared" si="23"/>
        <v>0</v>
      </c>
      <c r="DP749" s="1353"/>
      <c r="DQ749" s="1353"/>
      <c r="DR749" s="1353"/>
      <c r="DS749" s="1353"/>
      <c r="DT749" s="6"/>
      <c r="DU749" s="1367">
        <f t="shared" si="24"/>
        <v>0</v>
      </c>
      <c r="DV749" s="1367"/>
      <c r="DW749" s="1367"/>
      <c r="DX749" s="1367"/>
      <c r="DY749" s="1367"/>
      <c r="DZ749" s="1367">
        <f t="shared" si="25"/>
        <v>0</v>
      </c>
      <c r="EA749" s="1367"/>
      <c r="EB749" s="1367"/>
      <c r="EC749" s="1367"/>
      <c r="ED749" s="1367"/>
      <c r="EE749" s="1367">
        <f t="shared" si="26"/>
        <v>0</v>
      </c>
      <c r="EF749" s="1367"/>
      <c r="EG749" s="1367"/>
      <c r="EH749" s="1367"/>
      <c r="EI749" s="1367"/>
      <c r="EJ749" s="1367">
        <f t="shared" si="27"/>
        <v>0</v>
      </c>
      <c r="EK749" s="1367"/>
      <c r="EL749" s="1367"/>
      <c r="EM749" s="1367"/>
      <c r="EN749" s="1367"/>
      <c r="EO749" s="1367">
        <f t="shared" si="28"/>
        <v>0</v>
      </c>
      <c r="EP749" s="1367"/>
      <c r="EQ749" s="1367"/>
      <c r="ER749" s="1367"/>
      <c r="ES749" s="1367"/>
      <c r="ET749" s="1367">
        <f t="shared" si="29"/>
        <v>0</v>
      </c>
      <c r="EU749" s="1367"/>
      <c r="EV749" s="1367"/>
      <c r="EW749" s="1367"/>
      <c r="EX749" s="1367"/>
      <c r="EY749"/>
      <c r="EZ749" s="1350" t="str">
        <f t="shared" si="30"/>
        <v/>
      </c>
      <c r="FA749" s="1351"/>
      <c r="FB749" s="1351"/>
      <c r="FC749" s="1351"/>
      <c r="FD749" s="1352"/>
      <c r="FE749" s="1350" t="str">
        <f t="shared" si="31"/>
        <v/>
      </c>
      <c r="FF749" s="1351"/>
      <c r="FG749" s="1351"/>
      <c r="FH749" s="1351"/>
      <c r="FI749" s="1352"/>
      <c r="FJ749" s="1350" t="str">
        <f t="shared" si="32"/>
        <v/>
      </c>
      <c r="FK749" s="1351"/>
      <c r="FL749" s="1351"/>
      <c r="FM749" s="1351"/>
      <c r="FN749" s="1352"/>
      <c r="FO749" s="1350" t="str">
        <f t="shared" si="33"/>
        <v/>
      </c>
      <c r="FP749" s="1351"/>
      <c r="FQ749" s="1351"/>
      <c r="FR749" s="1351"/>
      <c r="FS749" s="1352"/>
      <c r="FT749" s="1350" t="str">
        <f t="shared" si="34"/>
        <v/>
      </c>
      <c r="FU749" s="1351"/>
      <c r="FV749" s="1351"/>
      <c r="FW749" s="1351"/>
      <c r="FX749" s="1352"/>
      <c r="FY749" s="1350" t="str">
        <f t="shared" si="35"/>
        <v/>
      </c>
      <c r="FZ749" s="1351"/>
      <c r="GA749" s="1351"/>
      <c r="GB749" s="1351"/>
      <c r="GC749" s="1352"/>
    </row>
    <row r="750" spans="1:185" s="3" customFormat="1" ht="13.05" customHeight="1">
      <c r="A750"/>
      <c r="B750" s="1354"/>
      <c r="C750" s="1355"/>
      <c r="D750" s="1355"/>
      <c r="E750" s="1355"/>
      <c r="F750" s="1356"/>
      <c r="G750" s="1363"/>
      <c r="H750" s="1364"/>
      <c r="I750" s="1364"/>
      <c r="J750" s="1365"/>
      <c r="K750" s="1598"/>
      <c r="L750" s="1599"/>
      <c r="M750" s="1599"/>
      <c r="N750" s="1600"/>
      <c r="O750" s="1467"/>
      <c r="P750" s="1468"/>
      <c r="Q750" s="1468"/>
      <c r="R750" s="1468"/>
      <c r="S750" s="1469"/>
      <c r="T750" s="1467"/>
      <c r="U750" s="1468"/>
      <c r="V750" s="1468"/>
      <c r="W750" s="1469"/>
      <c r="X750" s="1357">
        <f t="shared" si="39"/>
        <v>0</v>
      </c>
      <c r="Y750" s="1358"/>
      <c r="Z750" s="1358"/>
      <c r="AA750" s="1358"/>
      <c r="AB750" s="1359"/>
      <c r="AC750" s="1608"/>
      <c r="AD750" s="1609"/>
      <c r="AE750" s="1609"/>
      <c r="AF750" s="1609"/>
      <c r="AG750" s="1610"/>
      <c r="AH750" s="1360" t="str">
        <f t="shared" si="36"/>
        <v/>
      </c>
      <c r="AI750" s="1361"/>
      <c r="AJ750" s="1362"/>
      <c r="AK750" s="1354" t="s">
        <v>591</v>
      </c>
      <c r="AL750" s="1355"/>
      <c r="AM750" s="1355"/>
      <c r="AN750" s="1355"/>
      <c r="AO750" s="1356"/>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50">
        <f t="shared" si="37"/>
        <v>0</v>
      </c>
      <c r="CH750" s="1352"/>
      <c r="CI750" s="1334">
        <f t="shared" si="38"/>
        <v>0</v>
      </c>
      <c r="CJ750" s="1336"/>
      <c r="CK750" s="1350">
        <f t="shared" si="16"/>
        <v>0</v>
      </c>
      <c r="CL750" s="1352"/>
      <c r="CM750" s="1334">
        <f t="shared" si="17"/>
        <v>0</v>
      </c>
      <c r="CN750" s="1336"/>
      <c r="CP750" s="1331">
        <f t="shared" si="18"/>
        <v>0</v>
      </c>
      <c r="CQ750" s="1332"/>
      <c r="CR750" s="1332"/>
      <c r="CS750" s="1332"/>
      <c r="CT750" s="1333"/>
      <c r="CU750" s="1353">
        <f t="shared" si="19"/>
        <v>0</v>
      </c>
      <c r="CV750" s="1353"/>
      <c r="CW750" s="1353"/>
      <c r="CX750" s="1353"/>
      <c r="CY750" s="1353"/>
      <c r="CZ750" s="1353">
        <f t="shared" si="20"/>
        <v>0</v>
      </c>
      <c r="DA750" s="1353"/>
      <c r="DB750" s="1353"/>
      <c r="DC750" s="1353"/>
      <c r="DD750" s="1353"/>
      <c r="DE750" s="1353">
        <f t="shared" si="21"/>
        <v>0</v>
      </c>
      <c r="DF750" s="1353"/>
      <c r="DG750" s="1353"/>
      <c r="DH750" s="1353"/>
      <c r="DI750" s="1353"/>
      <c r="DJ750" s="1353">
        <f t="shared" si="22"/>
        <v>0</v>
      </c>
      <c r="DK750" s="1353"/>
      <c r="DL750" s="1353"/>
      <c r="DM750" s="1353"/>
      <c r="DN750" s="1353"/>
      <c r="DO750" s="1353">
        <f t="shared" si="23"/>
        <v>0</v>
      </c>
      <c r="DP750" s="1353"/>
      <c r="DQ750" s="1353"/>
      <c r="DR750" s="1353"/>
      <c r="DS750" s="1353"/>
      <c r="DT750" s="6"/>
      <c r="DU750" s="1367">
        <f t="shared" si="24"/>
        <v>0</v>
      </c>
      <c r="DV750" s="1367"/>
      <c r="DW750" s="1367"/>
      <c r="DX750" s="1367"/>
      <c r="DY750" s="1367"/>
      <c r="DZ750" s="1367">
        <f t="shared" si="25"/>
        <v>0</v>
      </c>
      <c r="EA750" s="1367"/>
      <c r="EB750" s="1367"/>
      <c r="EC750" s="1367"/>
      <c r="ED750" s="1367"/>
      <c r="EE750" s="1367">
        <f t="shared" si="26"/>
        <v>0</v>
      </c>
      <c r="EF750" s="1367"/>
      <c r="EG750" s="1367"/>
      <c r="EH750" s="1367"/>
      <c r="EI750" s="1367"/>
      <c r="EJ750" s="1367">
        <f t="shared" si="27"/>
        <v>0</v>
      </c>
      <c r="EK750" s="1367"/>
      <c r="EL750" s="1367"/>
      <c r="EM750" s="1367"/>
      <c r="EN750" s="1367"/>
      <c r="EO750" s="1367">
        <f t="shared" si="28"/>
        <v>0</v>
      </c>
      <c r="EP750" s="1367"/>
      <c r="EQ750" s="1367"/>
      <c r="ER750" s="1367"/>
      <c r="ES750" s="1367"/>
      <c r="ET750" s="1367">
        <f t="shared" si="29"/>
        <v>0</v>
      </c>
      <c r="EU750" s="1367"/>
      <c r="EV750" s="1367"/>
      <c r="EW750" s="1367"/>
      <c r="EX750" s="1367"/>
      <c r="EY750"/>
      <c r="EZ750" s="1350" t="str">
        <f t="shared" si="30"/>
        <v/>
      </c>
      <c r="FA750" s="1351"/>
      <c r="FB750" s="1351"/>
      <c r="FC750" s="1351"/>
      <c r="FD750" s="1352"/>
      <c r="FE750" s="1350" t="str">
        <f t="shared" si="31"/>
        <v/>
      </c>
      <c r="FF750" s="1351"/>
      <c r="FG750" s="1351"/>
      <c r="FH750" s="1351"/>
      <c r="FI750" s="1352"/>
      <c r="FJ750" s="1350" t="str">
        <f t="shared" si="32"/>
        <v/>
      </c>
      <c r="FK750" s="1351"/>
      <c r="FL750" s="1351"/>
      <c r="FM750" s="1351"/>
      <c r="FN750" s="1352"/>
      <c r="FO750" s="1350" t="str">
        <f t="shared" si="33"/>
        <v/>
      </c>
      <c r="FP750" s="1351"/>
      <c r="FQ750" s="1351"/>
      <c r="FR750" s="1351"/>
      <c r="FS750" s="1352"/>
      <c r="FT750" s="1350" t="str">
        <f t="shared" si="34"/>
        <v/>
      </c>
      <c r="FU750" s="1351"/>
      <c r="FV750" s="1351"/>
      <c r="FW750" s="1351"/>
      <c r="FX750" s="1352"/>
      <c r="FY750" s="1350" t="str">
        <f t="shared" si="35"/>
        <v/>
      </c>
      <c r="FZ750" s="1351"/>
      <c r="GA750" s="1351"/>
      <c r="GB750" s="1351"/>
      <c r="GC750" s="1352"/>
    </row>
    <row r="751" spans="1:185" s="3" customFormat="1" ht="13.05" customHeight="1">
      <c r="A751"/>
      <c r="B751" s="1354"/>
      <c r="C751" s="1355"/>
      <c r="D751" s="1355"/>
      <c r="E751" s="1355"/>
      <c r="F751" s="1356"/>
      <c r="G751" s="1363"/>
      <c r="H751" s="1364"/>
      <c r="I751" s="1364"/>
      <c r="J751" s="1365"/>
      <c r="K751" s="1598"/>
      <c r="L751" s="1599"/>
      <c r="M751" s="1599"/>
      <c r="N751" s="1600"/>
      <c r="O751" s="1467"/>
      <c r="P751" s="1468"/>
      <c r="Q751" s="1468"/>
      <c r="R751" s="1468"/>
      <c r="S751" s="1469"/>
      <c r="T751" s="1467"/>
      <c r="U751" s="1468"/>
      <c r="V751" s="1468"/>
      <c r="W751" s="1469"/>
      <c r="X751" s="1357">
        <f t="shared" si="39"/>
        <v>0</v>
      </c>
      <c r="Y751" s="1358"/>
      <c r="Z751" s="1358"/>
      <c r="AA751" s="1358"/>
      <c r="AB751" s="1359"/>
      <c r="AC751" s="1608"/>
      <c r="AD751" s="1609"/>
      <c r="AE751" s="1609"/>
      <c r="AF751" s="1609"/>
      <c r="AG751" s="1610"/>
      <c r="AH751" s="1360" t="str">
        <f t="shared" si="36"/>
        <v/>
      </c>
      <c r="AI751" s="1361"/>
      <c r="AJ751" s="1362"/>
      <c r="AK751" s="1354" t="s">
        <v>591</v>
      </c>
      <c r="AL751" s="1355"/>
      <c r="AM751" s="1355"/>
      <c r="AN751" s="1355"/>
      <c r="AO751" s="1356"/>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50">
        <f t="shared" si="37"/>
        <v>0</v>
      </c>
      <c r="CH751" s="1352"/>
      <c r="CI751" s="1334">
        <f t="shared" si="38"/>
        <v>0</v>
      </c>
      <c r="CJ751" s="1336"/>
      <c r="CK751" s="1350">
        <f t="shared" si="16"/>
        <v>0</v>
      </c>
      <c r="CL751" s="1352"/>
      <c r="CM751" s="1334">
        <f t="shared" si="17"/>
        <v>0</v>
      </c>
      <c r="CN751" s="1336"/>
      <c r="CP751" s="1331">
        <f t="shared" si="18"/>
        <v>0</v>
      </c>
      <c r="CQ751" s="1332"/>
      <c r="CR751" s="1332"/>
      <c r="CS751" s="1332"/>
      <c r="CT751" s="1333"/>
      <c r="CU751" s="1353">
        <f t="shared" si="19"/>
        <v>0</v>
      </c>
      <c r="CV751" s="1353"/>
      <c r="CW751" s="1353"/>
      <c r="CX751" s="1353"/>
      <c r="CY751" s="1353"/>
      <c r="CZ751" s="1353">
        <f t="shared" si="20"/>
        <v>0</v>
      </c>
      <c r="DA751" s="1353"/>
      <c r="DB751" s="1353"/>
      <c r="DC751" s="1353"/>
      <c r="DD751" s="1353"/>
      <c r="DE751" s="1353">
        <f t="shared" si="21"/>
        <v>0</v>
      </c>
      <c r="DF751" s="1353"/>
      <c r="DG751" s="1353"/>
      <c r="DH751" s="1353"/>
      <c r="DI751" s="1353"/>
      <c r="DJ751" s="1353">
        <f t="shared" si="22"/>
        <v>0</v>
      </c>
      <c r="DK751" s="1353"/>
      <c r="DL751" s="1353"/>
      <c r="DM751" s="1353"/>
      <c r="DN751" s="1353"/>
      <c r="DO751" s="1353">
        <f t="shared" si="23"/>
        <v>0</v>
      </c>
      <c r="DP751" s="1353"/>
      <c r="DQ751" s="1353"/>
      <c r="DR751" s="1353"/>
      <c r="DS751" s="1353"/>
      <c r="DT751" s="6"/>
      <c r="DU751" s="1367">
        <f t="shared" si="24"/>
        <v>0</v>
      </c>
      <c r="DV751" s="1367"/>
      <c r="DW751" s="1367"/>
      <c r="DX751" s="1367"/>
      <c r="DY751" s="1367"/>
      <c r="DZ751" s="1367">
        <f t="shared" si="25"/>
        <v>0</v>
      </c>
      <c r="EA751" s="1367"/>
      <c r="EB751" s="1367"/>
      <c r="EC751" s="1367"/>
      <c r="ED751" s="1367"/>
      <c r="EE751" s="1367">
        <f t="shared" si="26"/>
        <v>0</v>
      </c>
      <c r="EF751" s="1367"/>
      <c r="EG751" s="1367"/>
      <c r="EH751" s="1367"/>
      <c r="EI751" s="1367"/>
      <c r="EJ751" s="1367">
        <f t="shared" si="27"/>
        <v>0</v>
      </c>
      <c r="EK751" s="1367"/>
      <c r="EL751" s="1367"/>
      <c r="EM751" s="1367"/>
      <c r="EN751" s="1367"/>
      <c r="EO751" s="1367">
        <f t="shared" si="28"/>
        <v>0</v>
      </c>
      <c r="EP751" s="1367"/>
      <c r="EQ751" s="1367"/>
      <c r="ER751" s="1367"/>
      <c r="ES751" s="1367"/>
      <c r="ET751" s="1367">
        <f t="shared" si="29"/>
        <v>0</v>
      </c>
      <c r="EU751" s="1367"/>
      <c r="EV751" s="1367"/>
      <c r="EW751" s="1367"/>
      <c r="EX751" s="1367"/>
      <c r="EY751"/>
      <c r="EZ751" s="1350" t="str">
        <f t="shared" si="30"/>
        <v/>
      </c>
      <c r="FA751" s="1351"/>
      <c r="FB751" s="1351"/>
      <c r="FC751" s="1351"/>
      <c r="FD751" s="1352"/>
      <c r="FE751" s="1350" t="str">
        <f t="shared" si="31"/>
        <v/>
      </c>
      <c r="FF751" s="1351"/>
      <c r="FG751" s="1351"/>
      <c r="FH751" s="1351"/>
      <c r="FI751" s="1352"/>
      <c r="FJ751" s="1350" t="str">
        <f t="shared" si="32"/>
        <v/>
      </c>
      <c r="FK751" s="1351"/>
      <c r="FL751" s="1351"/>
      <c r="FM751" s="1351"/>
      <c r="FN751" s="1352"/>
      <c r="FO751" s="1350" t="str">
        <f t="shared" si="33"/>
        <v/>
      </c>
      <c r="FP751" s="1351"/>
      <c r="FQ751" s="1351"/>
      <c r="FR751" s="1351"/>
      <c r="FS751" s="1352"/>
      <c r="FT751" s="1350" t="str">
        <f t="shared" si="34"/>
        <v/>
      </c>
      <c r="FU751" s="1351"/>
      <c r="FV751" s="1351"/>
      <c r="FW751" s="1351"/>
      <c r="FX751" s="1352"/>
      <c r="FY751" s="1350" t="str">
        <f t="shared" si="35"/>
        <v/>
      </c>
      <c r="FZ751" s="1351"/>
      <c r="GA751" s="1351"/>
      <c r="GB751" s="1351"/>
      <c r="GC751" s="1352"/>
    </row>
    <row r="752" spans="1:185" s="3" customFormat="1" ht="13.05" customHeight="1">
      <c r="A752"/>
      <c r="B752" s="1354"/>
      <c r="C752" s="1355"/>
      <c r="D752" s="1355"/>
      <c r="E752" s="1355"/>
      <c r="F752" s="1356"/>
      <c r="G752" s="1363"/>
      <c r="H752" s="1364"/>
      <c r="I752" s="1364"/>
      <c r="J752" s="1365"/>
      <c r="K752" s="1598"/>
      <c r="L752" s="1599"/>
      <c r="M752" s="1599"/>
      <c r="N752" s="1600"/>
      <c r="O752" s="1467"/>
      <c r="P752" s="1468"/>
      <c r="Q752" s="1468"/>
      <c r="R752" s="1468"/>
      <c r="S752" s="1469"/>
      <c r="T752" s="1467"/>
      <c r="U752" s="1468"/>
      <c r="V752" s="1468"/>
      <c r="W752" s="1469"/>
      <c r="X752" s="1357">
        <f>O752+T752</f>
        <v>0</v>
      </c>
      <c r="Y752" s="1358"/>
      <c r="Z752" s="1358"/>
      <c r="AA752" s="1358"/>
      <c r="AB752" s="1359"/>
      <c r="AC752" s="1608"/>
      <c r="AD752" s="1609"/>
      <c r="AE752" s="1609"/>
      <c r="AF752" s="1609"/>
      <c r="AG752" s="1610"/>
      <c r="AH752" s="1360" t="str">
        <f t="shared" si="36"/>
        <v/>
      </c>
      <c r="AI752" s="1361"/>
      <c r="AJ752" s="1362"/>
      <c r="AK752" s="1354" t="s">
        <v>591</v>
      </c>
      <c r="AL752" s="1355"/>
      <c r="AM752" s="1355"/>
      <c r="AN752" s="1355"/>
      <c r="AO752" s="1356"/>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350">
        <f t="shared" si="37"/>
        <v>0</v>
      </c>
      <c r="CH752" s="1352"/>
      <c r="CI752" s="1334">
        <f t="shared" si="38"/>
        <v>0</v>
      </c>
      <c r="CJ752" s="1336"/>
      <c r="CK752" s="1350">
        <f t="shared" si="16"/>
        <v>0</v>
      </c>
      <c r="CL752" s="1352"/>
      <c r="CM752" s="1334">
        <f t="shared" si="17"/>
        <v>0</v>
      </c>
      <c r="CN752" s="1336"/>
      <c r="CP752" s="1331">
        <f t="shared" si="18"/>
        <v>0</v>
      </c>
      <c r="CQ752" s="1332"/>
      <c r="CR752" s="1332"/>
      <c r="CS752" s="1332"/>
      <c r="CT752" s="1333"/>
      <c r="CU752" s="1353">
        <f t="shared" si="19"/>
        <v>0</v>
      </c>
      <c r="CV752" s="1353"/>
      <c r="CW752" s="1353"/>
      <c r="CX752" s="1353"/>
      <c r="CY752" s="1353"/>
      <c r="CZ752" s="1353">
        <f t="shared" si="20"/>
        <v>0</v>
      </c>
      <c r="DA752" s="1353"/>
      <c r="DB752" s="1353"/>
      <c r="DC752" s="1353"/>
      <c r="DD752" s="1353"/>
      <c r="DE752" s="1353">
        <f t="shared" si="21"/>
        <v>0</v>
      </c>
      <c r="DF752" s="1353"/>
      <c r="DG752" s="1353"/>
      <c r="DH752" s="1353"/>
      <c r="DI752" s="1353"/>
      <c r="DJ752" s="1353">
        <f t="shared" si="22"/>
        <v>0</v>
      </c>
      <c r="DK752" s="1353"/>
      <c r="DL752" s="1353"/>
      <c r="DM752" s="1353"/>
      <c r="DN752" s="1353"/>
      <c r="DO752" s="1353">
        <f t="shared" si="23"/>
        <v>0</v>
      </c>
      <c r="DP752" s="1353"/>
      <c r="DQ752" s="1353"/>
      <c r="DR752" s="1353"/>
      <c r="DS752" s="1353"/>
      <c r="DT752" s="6"/>
      <c r="DU752" s="1367">
        <f t="shared" si="24"/>
        <v>0</v>
      </c>
      <c r="DV752" s="1367"/>
      <c r="DW752" s="1367"/>
      <c r="DX752" s="1367"/>
      <c r="DY752" s="1367"/>
      <c r="DZ752" s="1367">
        <f t="shared" si="25"/>
        <v>0</v>
      </c>
      <c r="EA752" s="1367"/>
      <c r="EB752" s="1367"/>
      <c r="EC752" s="1367"/>
      <c r="ED752" s="1367"/>
      <c r="EE752" s="1367">
        <f t="shared" si="26"/>
        <v>0</v>
      </c>
      <c r="EF752" s="1367"/>
      <c r="EG752" s="1367"/>
      <c r="EH752" s="1367"/>
      <c r="EI752" s="1367"/>
      <c r="EJ752" s="1367">
        <f t="shared" si="27"/>
        <v>0</v>
      </c>
      <c r="EK752" s="1367"/>
      <c r="EL752" s="1367"/>
      <c r="EM752" s="1367"/>
      <c r="EN752" s="1367"/>
      <c r="EO752" s="1367">
        <f t="shared" si="28"/>
        <v>0</v>
      </c>
      <c r="EP752" s="1367"/>
      <c r="EQ752" s="1367"/>
      <c r="ER752" s="1367"/>
      <c r="ES752" s="1367"/>
      <c r="ET752" s="1367">
        <f t="shared" si="29"/>
        <v>0</v>
      </c>
      <c r="EU752" s="1367"/>
      <c r="EV752" s="1367"/>
      <c r="EW752" s="1367"/>
      <c r="EX752" s="1367"/>
      <c r="EY752"/>
      <c r="EZ752" s="1350" t="str">
        <f t="shared" si="30"/>
        <v/>
      </c>
      <c r="FA752" s="1351"/>
      <c r="FB752" s="1351"/>
      <c r="FC752" s="1351"/>
      <c r="FD752" s="1352"/>
      <c r="FE752" s="1350" t="str">
        <f t="shared" si="31"/>
        <v/>
      </c>
      <c r="FF752" s="1351"/>
      <c r="FG752" s="1351"/>
      <c r="FH752" s="1351"/>
      <c r="FI752" s="1352"/>
      <c r="FJ752" s="1350" t="str">
        <f t="shared" si="32"/>
        <v/>
      </c>
      <c r="FK752" s="1351"/>
      <c r="FL752" s="1351"/>
      <c r="FM752" s="1351"/>
      <c r="FN752" s="1352"/>
      <c r="FO752" s="1350" t="str">
        <f t="shared" si="33"/>
        <v/>
      </c>
      <c r="FP752" s="1351"/>
      <c r="FQ752" s="1351"/>
      <c r="FR752" s="1351"/>
      <c r="FS752" s="1352"/>
      <c r="FT752" s="1350" t="str">
        <f t="shared" si="34"/>
        <v/>
      </c>
      <c r="FU752" s="1351"/>
      <c r="FV752" s="1351"/>
      <c r="FW752" s="1351"/>
      <c r="FX752" s="1352"/>
      <c r="FY752" s="1350" t="str">
        <f t="shared" si="35"/>
        <v/>
      </c>
      <c r="FZ752" s="1351"/>
      <c r="GA752" s="1351"/>
      <c r="GB752" s="1351"/>
      <c r="GC752" s="1352"/>
    </row>
    <row r="753" spans="1:185" s="3" customFormat="1" ht="13.05" customHeight="1">
      <c r="A753"/>
      <c r="B753" s="1407" t="s">
        <v>125</v>
      </c>
      <c r="C753" s="1408"/>
      <c r="D753" s="1408"/>
      <c r="E753" s="1408"/>
      <c r="F753" s="1410"/>
      <c r="G753" s="1713">
        <f>SUM(G718:G752)</f>
        <v>63</v>
      </c>
      <c r="H753" s="1714"/>
      <c r="I753" s="1714"/>
      <c r="J753" s="1715"/>
      <c r="K753" s="903" t="s">
        <v>124</v>
      </c>
      <c r="L753" s="5"/>
      <c r="M753" s="5"/>
      <c r="N753" s="46"/>
      <c r="O753" s="1357">
        <f>SUMPRODUCT(G718:G752,O718:O752)</f>
        <v>79025</v>
      </c>
      <c r="P753" s="1358"/>
      <c r="Q753" s="1358"/>
      <c r="R753" s="1358"/>
      <c r="S753" s="1359"/>
      <c r="T753"/>
      <c r="U753"/>
      <c r="V753"/>
      <c r="W753"/>
      <c r="X753" s="905" t="s">
        <v>900</v>
      </c>
      <c r="Y753" s="904"/>
      <c r="Z753" s="904"/>
      <c r="AA753" s="904"/>
      <c r="AB753" s="906"/>
      <c r="AC753" s="1612">
        <f>BH753</f>
        <v>0.49206349206349204</v>
      </c>
      <c r="AD753" s="1613"/>
      <c r="AE753" s="1613"/>
      <c r="AF753" s="1613"/>
      <c r="AG753" s="1614"/>
      <c r="AH753" s="1612">
        <f>IFERROR(BU753,"")</f>
        <v>0.49206349206349204</v>
      </c>
      <c r="AI753" s="1613"/>
      <c r="AJ753" s="1614"/>
      <c r="AK753"/>
      <c r="AL753"/>
      <c r="AM753"/>
      <c r="AN753"/>
      <c r="AO753"/>
      <c r="AP753" s="206"/>
      <c r="AQ753" s="206"/>
      <c r="AR753" s="206"/>
      <c r="AS753" s="206"/>
      <c r="AT753"/>
      <c r="AU753"/>
      <c r="AV753"/>
      <c r="AW753"/>
      <c r="AX753"/>
      <c r="AY753"/>
      <c r="AZ753" s="34"/>
      <c r="BA753" s="34"/>
      <c r="BB753" s="34"/>
      <c r="BC753" s="34"/>
      <c r="BE753" s="291" t="s">
        <v>899</v>
      </c>
      <c r="BF753" s="300">
        <f>SUM(BF718:BF752)</f>
        <v>63</v>
      </c>
      <c r="BG753" s="301">
        <f>SUM(BG718:BG752)</f>
        <v>1</v>
      </c>
      <c r="BH753" s="301">
        <f>SUM(BH718:BH752)</f>
        <v>0.49206349206349204</v>
      </c>
      <c r="BI753"/>
      <c r="BJ753"/>
      <c r="BK753"/>
      <c r="BL753"/>
      <c r="BO753"/>
      <c r="BP753"/>
      <c r="BQ753"/>
      <c r="BR753"/>
      <c r="BS753" s="860">
        <f>SUM(BS718:BS752)</f>
        <v>63</v>
      </c>
      <c r="BT753" s="301">
        <f>SUM(BT718:BT752)</f>
        <v>1</v>
      </c>
      <c r="BU753" s="301">
        <f>SUM(BU718:BU752)</f>
        <v>0.49206349206349204</v>
      </c>
      <c r="CI753" s="1350">
        <f>SUM(CI718:CJ752)</f>
        <v>43</v>
      </c>
      <c r="CJ753" s="1352"/>
      <c r="CM753" s="1350">
        <f>SUM(CM718:CN752)</f>
        <v>10</v>
      </c>
      <c r="CN753" s="1352"/>
      <c r="CP753" s="1350">
        <f>SUM(CP718:CT752)</f>
        <v>0</v>
      </c>
      <c r="CQ753" s="1351"/>
      <c r="CR753" s="1351"/>
      <c r="CS753" s="1351"/>
      <c r="CT753" s="1352"/>
      <c r="CU753" s="1366">
        <f>SUM(CU718:CY752)</f>
        <v>63</v>
      </c>
      <c r="CV753" s="1366"/>
      <c r="CW753" s="1366"/>
      <c r="CX753" s="1366"/>
      <c r="CY753" s="1366"/>
      <c r="CZ753" s="1366">
        <f>SUM(CZ718:DD752)</f>
        <v>0</v>
      </c>
      <c r="DA753" s="1366"/>
      <c r="DB753" s="1366"/>
      <c r="DC753" s="1366"/>
      <c r="DD753" s="1366"/>
      <c r="DE753" s="1366">
        <f>SUM(DE718:DI752)</f>
        <v>0</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0</v>
      </c>
      <c r="DV753" s="1366"/>
      <c r="DW753" s="1366"/>
      <c r="DX753" s="1366"/>
      <c r="DY753" s="1366"/>
      <c r="DZ753" s="1366">
        <f>SUM(DZ718:ED752)</f>
        <v>0</v>
      </c>
      <c r="EA753" s="1366"/>
      <c r="EB753" s="1366"/>
      <c r="EC753" s="1366"/>
      <c r="ED753" s="1366"/>
      <c r="EE753" s="1366">
        <f>SUM(EE718:EI752)</f>
        <v>0</v>
      </c>
      <c r="EF753" s="1366"/>
      <c r="EG753" s="1366"/>
      <c r="EH753" s="1366"/>
      <c r="EI753" s="1366"/>
      <c r="EJ753" s="1366">
        <f>SUM(EJ718:EN752)</f>
        <v>0</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0</v>
      </c>
      <c r="FA753" s="1366"/>
      <c r="FB753" s="1366"/>
      <c r="FC753" s="1366"/>
      <c r="FD753" s="1366"/>
      <c r="FE753" s="1366">
        <f>SUM(FE718:FI752)</f>
        <v>3695</v>
      </c>
      <c r="FF753" s="1366"/>
      <c r="FG753" s="1366"/>
      <c r="FH753" s="1366"/>
      <c r="FI753" s="1366"/>
      <c r="FJ753" s="1366">
        <f>SUM(FJ718:FN752)</f>
        <v>0</v>
      </c>
      <c r="FK753" s="1366"/>
      <c r="FL753" s="1366"/>
      <c r="FM753" s="1366"/>
      <c r="FN753" s="1366"/>
      <c r="FO753" s="1366">
        <f>SUM(FO718:FS752)</f>
        <v>0</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3.05" customHeight="1">
      <c r="A754"/>
      <c r="B754" s="1717" t="s">
        <v>1894</v>
      </c>
      <c r="C754" s="1717"/>
      <c r="D754" s="1717"/>
      <c r="E754" s="1717"/>
      <c r="F754" s="1717"/>
      <c r="G754" s="1717"/>
      <c r="H754" s="1717"/>
      <c r="I754" s="1717"/>
      <c r="J754" s="1717"/>
      <c r="K754" s="1717"/>
      <c r="L754" s="1717"/>
      <c r="M754" s="1717"/>
      <c r="N754" s="1717"/>
      <c r="O754" s="1717"/>
      <c r="P754" s="1717"/>
      <c r="Q754" s="1717"/>
      <c r="R754" s="1717"/>
      <c r="S754" s="1717"/>
      <c r="T754" s="1717"/>
      <c r="U754" s="1717"/>
      <c r="V754" s="1717"/>
      <c r="W754" s="1717"/>
      <c r="X754" s="1717"/>
      <c r="Y754" s="1717"/>
      <c r="Z754" s="1717"/>
      <c r="AA754" s="1717"/>
      <c r="AB754" s="1717"/>
      <c r="AC754" s="1717"/>
      <c r="AD754" s="1717"/>
      <c r="AE754" s="1717"/>
      <c r="AF754" s="1717"/>
      <c r="AG754" s="1717"/>
      <c r="AH754" s="1717"/>
      <c r="AI754"/>
      <c r="AJ754"/>
      <c r="AK754"/>
      <c r="AT754"/>
      <c r="AU754"/>
      <c r="AV754"/>
      <c r="AW754"/>
      <c r="AX754"/>
      <c r="AY754"/>
      <c r="CD754"/>
      <c r="DN754" s="56" t="s">
        <v>1861</v>
      </c>
      <c r="DO754" s="1350">
        <f>CP753+CU753+CZ753+DE753+DJ753+DO753</f>
        <v>63</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717"/>
      <c r="C755" s="1717"/>
      <c r="D755" s="1717"/>
      <c r="E755" s="1717"/>
      <c r="F755" s="1717"/>
      <c r="G755" s="1717"/>
      <c r="H755" s="1717"/>
      <c r="I755" s="1717"/>
      <c r="J755" s="1717"/>
      <c r="K755" s="1717"/>
      <c r="L755" s="1717"/>
      <c r="M755" s="1717"/>
      <c r="N755" s="1717"/>
      <c r="O755" s="1717"/>
      <c r="P755" s="1717"/>
      <c r="Q755" s="1717"/>
      <c r="R755" s="1717"/>
      <c r="S755" s="1717"/>
      <c r="T755" s="1717"/>
      <c r="U755" s="1717"/>
      <c r="V755" s="1717"/>
      <c r="W755" s="1717"/>
      <c r="X755" s="1717"/>
      <c r="Y755" s="1717"/>
      <c r="Z755" s="1717"/>
      <c r="AA755" s="1717"/>
      <c r="AB755" s="1717"/>
      <c r="AC755" s="1717"/>
      <c r="AD755" s="1717"/>
      <c r="AE755" s="1717"/>
      <c r="AF755" s="1717"/>
      <c r="AG755" s="1717"/>
      <c r="AH755" s="171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63</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63</v>
      </c>
      <c r="DV755" s="57" t="s">
        <v>1863</v>
      </c>
      <c r="DW755" s="3"/>
      <c r="DX755" s="3"/>
      <c r="DY755" s="3"/>
      <c r="DZ755" s="3"/>
      <c r="EA755" s="3"/>
      <c r="EB755" s="3"/>
      <c r="EC755" s="3"/>
      <c r="ED755" s="3"/>
      <c r="EE755" s="3"/>
      <c r="EF755" s="3"/>
      <c r="EG755" s="3"/>
      <c r="EH755" s="3"/>
    </row>
    <row r="756" spans="1:185" ht="13.05" customHeight="1">
      <c r="A756" s="3"/>
      <c r="B756" s="3"/>
      <c r="C756" s="118" t="s">
        <v>1892</v>
      </c>
      <c r="D756" s="1033"/>
      <c r="E756" s="1033"/>
      <c r="F756" s="1033"/>
      <c r="G756" s="1034"/>
      <c r="H756" s="1034"/>
      <c r="I756" s="1034"/>
      <c r="J756" s="1034"/>
      <c r="K756" s="1033"/>
      <c r="L756" s="1033"/>
      <c r="M756" s="1033"/>
      <c r="N756" s="1033"/>
      <c r="O756" s="1366">
        <f>DU755</f>
        <v>63</v>
      </c>
      <c r="P756" s="1366"/>
      <c r="Q756" s="1366"/>
      <c r="R756" s="1366"/>
      <c r="S756" s="970"/>
      <c r="T756" s="970"/>
      <c r="U756" s="118" t="s">
        <v>1893</v>
      </c>
      <c r="V756" s="1033"/>
      <c r="W756" s="1033"/>
      <c r="X756" s="1033"/>
      <c r="Y756" s="1034"/>
      <c r="Z756" s="1034"/>
      <c r="AA756" s="1034"/>
      <c r="AB756" s="1034"/>
      <c r="AC756" s="1033"/>
      <c r="AD756" s="1033"/>
      <c r="AE756" s="1033"/>
      <c r="AF756" s="1033"/>
      <c r="AG756" s="1709"/>
      <c r="AH756" s="1709"/>
      <c r="AI756" s="1709"/>
      <c r="AJ756" s="1709"/>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05" customHeight="1">
      <c r="B757" s="57"/>
      <c r="C757" s="1850" t="str">
        <f>IF(G753&lt;&gt;AG440,"! Total Low-Income Units in the Unit Mix Table above does not match the number of Total Low-Income Units on row #"&amp;TEXT(ROW(D440),"#"),"")</f>
        <v/>
      </c>
      <c r="D757" s="1850"/>
      <c r="E757" s="1850"/>
      <c r="F757" s="1850"/>
      <c r="G757" s="1850"/>
      <c r="H757" s="1850"/>
      <c r="I757" s="1850"/>
      <c r="J757" s="1850"/>
      <c r="K757" s="1850"/>
      <c r="L757" s="1850"/>
      <c r="M757" s="1850"/>
      <c r="N757" s="1850"/>
      <c r="O757" s="1850"/>
      <c r="P757" s="1850"/>
      <c r="Q757" s="1850"/>
      <c r="R757" s="1850"/>
      <c r="S757" s="1850"/>
      <c r="T757" s="1850"/>
      <c r="U757" s="1850"/>
      <c r="V757" s="1850"/>
      <c r="W757" s="1850"/>
      <c r="X757" s="1850"/>
      <c r="Y757" s="1850"/>
      <c r="Z757" s="1850"/>
      <c r="AA757" s="1850"/>
      <c r="AB757" s="1850"/>
      <c r="AC757" s="1850"/>
      <c r="AD757" s="1850"/>
      <c r="AE757" s="1850"/>
      <c r="AF757" s="1850"/>
      <c r="AG757" s="1850"/>
      <c r="AH757" s="1850"/>
      <c r="AI757" s="1850"/>
      <c r="AJ757" s="1850"/>
      <c r="AK757" s="1850"/>
      <c r="AL757" s="1850"/>
      <c r="AM757" s="1850"/>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850"/>
      <c r="D758" s="1850"/>
      <c r="E758" s="1850"/>
      <c r="F758" s="1850"/>
      <c r="G758" s="1850"/>
      <c r="H758" s="1850"/>
      <c r="I758" s="1850"/>
      <c r="J758" s="1850"/>
      <c r="K758" s="1850"/>
      <c r="L758" s="1850"/>
      <c r="M758" s="1850"/>
      <c r="N758" s="1850"/>
      <c r="O758" s="1850"/>
      <c r="P758" s="1850"/>
      <c r="Q758" s="1850"/>
      <c r="R758" s="1850"/>
      <c r="S758" s="1850"/>
      <c r="T758" s="1850"/>
      <c r="U758" s="1850"/>
      <c r="V758" s="1850"/>
      <c r="W758" s="1850"/>
      <c r="X758" s="1850"/>
      <c r="Y758" s="1850"/>
      <c r="Z758" s="1850"/>
      <c r="AA758" s="1850"/>
      <c r="AB758" s="1850"/>
      <c r="AC758" s="1850"/>
      <c r="AD758" s="1850"/>
      <c r="AE758" s="1850"/>
      <c r="AF758" s="1850"/>
      <c r="AG758" s="1850"/>
      <c r="AH758" s="1850"/>
      <c r="AI758" s="1850"/>
      <c r="AJ758" s="1850"/>
      <c r="AK758" s="1850"/>
      <c r="AL758" s="1850"/>
      <c r="AM758" s="1850"/>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16" t="s">
        <v>591</v>
      </c>
      <c r="AE759" s="1716"/>
      <c r="AF759" s="1716"/>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3"/>
      <c r="C763" s="1265" t="s">
        <v>2091</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3"/>
      <c r="C766" s="1265" t="s">
        <v>2092</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05"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604" t="s">
        <v>388</v>
      </c>
      <c r="K769" s="1498"/>
      <c r="L769" s="1498"/>
      <c r="M769" s="1498"/>
      <c r="N769" s="1499"/>
      <c r="O769" s="1596" t="s">
        <v>284</v>
      </c>
      <c r="P769" s="1596"/>
      <c r="Q769" s="1596"/>
      <c r="R769" s="1596"/>
      <c r="S769" s="1596"/>
      <c r="T769" s="1509" t="s">
        <v>1679</v>
      </c>
      <c r="U769" s="1510"/>
      <c r="V769" s="1510"/>
      <c r="W769" s="1511"/>
      <c r="X769" s="1604" t="s">
        <v>447</v>
      </c>
      <c r="Y769" s="1498"/>
      <c r="Z769" s="1498"/>
      <c r="AA769" s="1498"/>
      <c r="AB769" s="1499"/>
      <c r="AC769" s="1604" t="s">
        <v>285</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500"/>
      <c r="K770" s="1501"/>
      <c r="L770" s="1501"/>
      <c r="M770" s="1501"/>
      <c r="N770" s="1502"/>
      <c r="O770" s="1596"/>
      <c r="P770" s="1596"/>
      <c r="Q770" s="1596"/>
      <c r="R770" s="1596"/>
      <c r="S770" s="1596"/>
      <c r="T770" s="1512"/>
      <c r="U770" s="1513"/>
      <c r="V770" s="1513"/>
      <c r="W770" s="1514"/>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500"/>
      <c r="K771" s="1501"/>
      <c r="L771" s="1501"/>
      <c r="M771" s="1501"/>
      <c r="N771" s="1502"/>
      <c r="O771" s="1596"/>
      <c r="P771" s="1596"/>
      <c r="Q771" s="1596"/>
      <c r="R771" s="1596"/>
      <c r="S771" s="1596"/>
      <c r="T771" s="1512"/>
      <c r="U771" s="1513"/>
      <c r="V771" s="1513"/>
      <c r="W771" s="1514"/>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503"/>
      <c r="K772" s="1504"/>
      <c r="L772" s="1504"/>
      <c r="M772" s="1504"/>
      <c r="N772" s="1505"/>
      <c r="O772" s="1596"/>
      <c r="P772" s="1596"/>
      <c r="Q772" s="1596"/>
      <c r="R772" s="1596"/>
      <c r="S772" s="1596"/>
      <c r="T772" s="1605"/>
      <c r="U772" s="1606"/>
      <c r="V772" s="1606"/>
      <c r="W772" s="1607"/>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54" t="s">
        <v>163</v>
      </c>
      <c r="K773" s="1355"/>
      <c r="L773" s="1355"/>
      <c r="M773" s="1355"/>
      <c r="N773" s="1356"/>
      <c r="O773" s="1463">
        <v>1</v>
      </c>
      <c r="P773" s="1463"/>
      <c r="Q773" s="1463"/>
      <c r="R773" s="1463"/>
      <c r="S773" s="1463"/>
      <c r="T773" s="1598"/>
      <c r="U773" s="1599"/>
      <c r="V773" s="1599"/>
      <c r="W773" s="1600"/>
      <c r="X773" s="1467">
        <v>0</v>
      </c>
      <c r="Y773" s="1468"/>
      <c r="Z773" s="1468"/>
      <c r="AA773" s="1468"/>
      <c r="AB773" s="1469"/>
      <c r="AC773" s="1357">
        <f>X773*O773</f>
        <v>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1</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3.05" customHeight="1">
      <c r="J774" s="1354"/>
      <c r="K774" s="1355"/>
      <c r="L774" s="1355"/>
      <c r="M774" s="1355"/>
      <c r="N774" s="1356"/>
      <c r="O774" s="1463"/>
      <c r="P774" s="1463"/>
      <c r="Q774" s="1463"/>
      <c r="R774" s="1463"/>
      <c r="S774" s="1463"/>
      <c r="T774" s="1598"/>
      <c r="U774" s="1599"/>
      <c r="V774" s="1599"/>
      <c r="W774" s="1600"/>
      <c r="X774" s="1467"/>
      <c r="Y774" s="1468"/>
      <c r="Z774" s="1468"/>
      <c r="AA774" s="1468"/>
      <c r="AB774" s="1469"/>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3.05" customHeight="1">
      <c r="J775" s="1354"/>
      <c r="K775" s="1355"/>
      <c r="L775" s="1355"/>
      <c r="M775" s="1355"/>
      <c r="N775" s="1356"/>
      <c r="O775" s="1463"/>
      <c r="P775" s="1463"/>
      <c r="Q775" s="1463"/>
      <c r="R775" s="1463"/>
      <c r="S775" s="1463"/>
      <c r="T775" s="1598"/>
      <c r="U775" s="1599"/>
      <c r="V775" s="1599"/>
      <c r="W775" s="1600"/>
      <c r="X775" s="1467"/>
      <c r="Y775" s="1468"/>
      <c r="Z775" s="1468"/>
      <c r="AA775" s="1468"/>
      <c r="AB775" s="1469"/>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3.05" customHeight="1">
      <c r="J776" s="1354"/>
      <c r="K776" s="1355"/>
      <c r="L776" s="1355"/>
      <c r="M776" s="1355"/>
      <c r="N776" s="1356"/>
      <c r="O776" s="1463"/>
      <c r="P776" s="1463"/>
      <c r="Q776" s="1463"/>
      <c r="R776" s="1463"/>
      <c r="S776" s="1463"/>
      <c r="T776" s="1598"/>
      <c r="U776" s="1599"/>
      <c r="V776" s="1599"/>
      <c r="W776" s="1600"/>
      <c r="X776" s="1467"/>
      <c r="Y776" s="1468"/>
      <c r="Z776" s="1468"/>
      <c r="AA776" s="1468"/>
      <c r="AB776" s="1469"/>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3.05" customHeight="1">
      <c r="J777" s="1407" t="s">
        <v>125</v>
      </c>
      <c r="K777" s="1408"/>
      <c r="L777" s="1408"/>
      <c r="M777" s="1408"/>
      <c r="N777" s="1410"/>
      <c r="O777" s="1334">
        <f>SUM(O773:S776)</f>
        <v>1</v>
      </c>
      <c r="P777" s="1335"/>
      <c r="Q777" s="1335"/>
      <c r="R777" s="1335"/>
      <c r="S777" s="1336"/>
      <c r="X777" s="1407" t="s">
        <v>124</v>
      </c>
      <c r="Y777" s="1408"/>
      <c r="Z777" s="1408"/>
      <c r="AA777" s="1408"/>
      <c r="AB777" s="1410"/>
      <c r="AC777" s="1357">
        <f>SUM(AC773:AG776)</f>
        <v>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1</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1</v>
      </c>
      <c r="DV777" s="57" t="s">
        <v>1860</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1862</v>
      </c>
    </row>
    <row r="779" spans="1:126" ht="13.05" customHeight="1">
      <c r="B779" s="56"/>
      <c r="C779" s="56"/>
      <c r="D779" s="56"/>
      <c r="E779" s="56"/>
      <c r="F779" s="56"/>
      <c r="G779" s="6"/>
      <c r="H779" s="6"/>
      <c r="I779" s="6"/>
      <c r="J779" s="1389" t="s">
        <v>669</v>
      </c>
      <c r="K779" s="138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604" t="s">
        <v>388</v>
      </c>
      <c r="K783" s="1498"/>
      <c r="L783" s="1498"/>
      <c r="M783" s="1498"/>
      <c r="N783" s="1499"/>
      <c r="O783" s="1596" t="s">
        <v>284</v>
      </c>
      <c r="P783" s="1596"/>
      <c r="Q783" s="1596"/>
      <c r="R783" s="1596"/>
      <c r="S783" s="1596"/>
      <c r="T783" s="1509" t="s">
        <v>1679</v>
      </c>
      <c r="U783" s="1510"/>
      <c r="V783" s="1510"/>
      <c r="W783" s="1511"/>
      <c r="X783" s="1604" t="s">
        <v>447</v>
      </c>
      <c r="Y783" s="1498"/>
      <c r="Z783" s="1498"/>
      <c r="AA783" s="1498"/>
      <c r="AB783" s="1499"/>
      <c r="AC783" s="1604" t="s">
        <v>285</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500"/>
      <c r="K784" s="1501"/>
      <c r="L784" s="1501"/>
      <c r="M784" s="1501"/>
      <c r="N784" s="1502"/>
      <c r="O784" s="1596"/>
      <c r="P784" s="1596"/>
      <c r="Q784" s="1596"/>
      <c r="R784" s="1596"/>
      <c r="S784" s="1596"/>
      <c r="T784" s="1512"/>
      <c r="U784" s="1513"/>
      <c r="V784" s="1513"/>
      <c r="W784" s="1514"/>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500"/>
      <c r="K785" s="1501"/>
      <c r="L785" s="1501"/>
      <c r="M785" s="1501"/>
      <c r="N785" s="1502"/>
      <c r="O785" s="1596"/>
      <c r="P785" s="1596"/>
      <c r="Q785" s="1596"/>
      <c r="R785" s="1596"/>
      <c r="S785" s="1596"/>
      <c r="T785" s="1512"/>
      <c r="U785" s="1513"/>
      <c r="V785" s="1513"/>
      <c r="W785" s="1514"/>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503"/>
      <c r="K786" s="1504"/>
      <c r="L786" s="1504"/>
      <c r="M786" s="1504"/>
      <c r="N786" s="1505"/>
      <c r="O786" s="1596"/>
      <c r="P786" s="1596"/>
      <c r="Q786" s="1596"/>
      <c r="R786" s="1596"/>
      <c r="S786" s="1596"/>
      <c r="T786" s="1605"/>
      <c r="U786" s="1606"/>
      <c r="V786" s="1606"/>
      <c r="W786" s="1607"/>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05" customHeight="1">
      <c r="J787" s="1354"/>
      <c r="K787" s="1355"/>
      <c r="L787" s="1355"/>
      <c r="M787" s="1355"/>
      <c r="N787" s="1356"/>
      <c r="O787" s="1463"/>
      <c r="P787" s="1463"/>
      <c r="Q787" s="1463"/>
      <c r="R787" s="1463"/>
      <c r="S787" s="1463"/>
      <c r="T787" s="1598"/>
      <c r="U787" s="1599"/>
      <c r="V787" s="1599"/>
      <c r="W787" s="1600"/>
      <c r="X787" s="1467"/>
      <c r="Y787" s="1468"/>
      <c r="Z787" s="1468"/>
      <c r="AA787" s="1468"/>
      <c r="AB787" s="1469"/>
      <c r="AC787" s="1357">
        <f t="shared" ref="AC787:AC796" si="40">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1">IF(J787="SRO/Studio",O787,0)</f>
        <v>0</v>
      </c>
      <c r="CQ787" s="1332"/>
      <c r="CR787" s="1332"/>
      <c r="CS787" s="1332"/>
      <c r="CT787" s="1333"/>
      <c r="CU787" s="1331">
        <f t="shared" ref="CU787:CU796" si="42">IF(J787="1 Bedroom",O787,0)</f>
        <v>0</v>
      </c>
      <c r="CV787" s="1332"/>
      <c r="CW787" s="1332"/>
      <c r="CX787" s="1332"/>
      <c r="CY787" s="1333"/>
      <c r="CZ787" s="1331">
        <f t="shared" ref="CZ787:CZ796" si="43">IF(J787="2 Bedrooms",O787,0)</f>
        <v>0</v>
      </c>
      <c r="DA787" s="1332"/>
      <c r="DB787" s="1332"/>
      <c r="DC787" s="1332"/>
      <c r="DD787" s="1333"/>
      <c r="DE787" s="1331">
        <f t="shared" ref="DE787:DE796" si="44">IF(J787="3 Bedrooms",O787,0)</f>
        <v>0</v>
      </c>
      <c r="DF787" s="1332"/>
      <c r="DG787" s="1332"/>
      <c r="DH787" s="1332"/>
      <c r="DI787" s="1333"/>
      <c r="DJ787" s="1331">
        <f t="shared" ref="DJ787:DJ796" si="45">IF(J787="4 Bedrooms",O787,0)</f>
        <v>0</v>
      </c>
      <c r="DK787" s="1332"/>
      <c r="DL787" s="1332"/>
      <c r="DM787" s="1332"/>
      <c r="DN787" s="1333"/>
      <c r="DO787" s="1331">
        <f t="shared" ref="DO787:DO796" si="46">IF(J787="5 Bedrooms",O787,0)</f>
        <v>0</v>
      </c>
      <c r="DP787" s="1332"/>
      <c r="DQ787" s="1332"/>
      <c r="DR787" s="1332"/>
      <c r="DS787" s="1333"/>
      <c r="DT787" s="6"/>
      <c r="DU787" s="1331">
        <f t="shared" ref="DU787:DU796" si="47">IF(AND(CP787&gt;=1,AH787&gt;=0.1,AH787&lt;=1),O787,0)</f>
        <v>0</v>
      </c>
      <c r="DV787" s="1332"/>
      <c r="DW787" s="1332"/>
      <c r="DX787" s="1332"/>
      <c r="DY787" s="1333"/>
      <c r="DZ787" s="1331">
        <f t="shared" ref="DZ787:DZ796" si="48">IF(AND(CU787&gt;=1,AH787&gt;=0.1,AH787&lt;=1),O787,0)</f>
        <v>0</v>
      </c>
      <c r="EA787" s="1332"/>
      <c r="EB787" s="1332"/>
      <c r="EC787" s="1332"/>
      <c r="ED787" s="1333"/>
      <c r="EE787" s="1331">
        <f t="shared" ref="EE787:EE796" si="49">IF(AND(CZ787&gt;=1,AH787&gt;=0.1,AH787&lt;=1),O787,0)</f>
        <v>0</v>
      </c>
      <c r="EF787" s="1332"/>
      <c r="EG787" s="1332"/>
      <c r="EH787" s="1332"/>
      <c r="EI787" s="1333"/>
      <c r="EJ787" s="1331">
        <f t="shared" ref="EJ787:EJ796" si="50">IF(AND(DE787&gt;=1,AH787&gt;=0.1,AH787&lt;=1),O787,0)</f>
        <v>0</v>
      </c>
      <c r="EK787" s="1332"/>
      <c r="EL787" s="1332"/>
      <c r="EM787" s="1332"/>
      <c r="EN787" s="1333"/>
      <c r="EO787" s="1331">
        <f t="shared" ref="EO787:EO796" si="51">IF(AND(DJ787&gt;=1,AH787&gt;=0.1,AH787&lt;=1),O787,0)</f>
        <v>0</v>
      </c>
      <c r="EP787" s="1332"/>
      <c r="EQ787" s="1332"/>
      <c r="ER787" s="1332"/>
      <c r="ES787" s="1333"/>
      <c r="ET787" s="1331">
        <f t="shared" ref="ET787:ET796" si="52">IF(AND(DO787&gt;=1,AH787&gt;=0.1,AH787&lt;=1),O787,0)</f>
        <v>0</v>
      </c>
      <c r="EU787" s="1332"/>
      <c r="EV787" s="1332"/>
      <c r="EW787" s="1332"/>
      <c r="EX787" s="1333"/>
    </row>
    <row r="788" spans="1:154" s="14" customFormat="1" ht="13.05" customHeight="1">
      <c r="A788"/>
      <c r="B788"/>
      <c r="C788"/>
      <c r="D788"/>
      <c r="E788"/>
      <c r="F788"/>
      <c r="G788"/>
      <c r="H788"/>
      <c r="I788"/>
      <c r="J788" s="1354"/>
      <c r="K788" s="1355"/>
      <c r="L788" s="1355"/>
      <c r="M788" s="1355"/>
      <c r="N788" s="1356"/>
      <c r="O788" s="1463"/>
      <c r="P788" s="1463"/>
      <c r="Q788" s="1463"/>
      <c r="R788" s="1463"/>
      <c r="S788" s="1463"/>
      <c r="T788" s="1598"/>
      <c r="U788" s="1599"/>
      <c r="V788" s="1599"/>
      <c r="W788" s="1600"/>
      <c r="X788" s="1467"/>
      <c r="Y788" s="1468"/>
      <c r="Z788" s="1468"/>
      <c r="AA788" s="1468"/>
      <c r="AB788" s="1469"/>
      <c r="AC788" s="1357">
        <f t="shared" si="40"/>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1"/>
        <v>0</v>
      </c>
      <c r="CQ788" s="1332"/>
      <c r="CR788" s="1332"/>
      <c r="CS788" s="1332"/>
      <c r="CT788" s="1333"/>
      <c r="CU788" s="1331">
        <f t="shared" si="42"/>
        <v>0</v>
      </c>
      <c r="CV788" s="1332"/>
      <c r="CW788" s="1332"/>
      <c r="CX788" s="1332"/>
      <c r="CY788" s="1333"/>
      <c r="CZ788" s="1331">
        <f t="shared" si="43"/>
        <v>0</v>
      </c>
      <c r="DA788" s="1332"/>
      <c r="DB788" s="1332"/>
      <c r="DC788" s="1332"/>
      <c r="DD788" s="1333"/>
      <c r="DE788" s="1331">
        <f t="shared" si="44"/>
        <v>0</v>
      </c>
      <c r="DF788" s="1332"/>
      <c r="DG788" s="1332"/>
      <c r="DH788" s="1332"/>
      <c r="DI788" s="1333"/>
      <c r="DJ788" s="1331">
        <f t="shared" si="45"/>
        <v>0</v>
      </c>
      <c r="DK788" s="1332"/>
      <c r="DL788" s="1332"/>
      <c r="DM788" s="1332"/>
      <c r="DN788" s="1333"/>
      <c r="DO788" s="1331">
        <f t="shared" si="46"/>
        <v>0</v>
      </c>
      <c r="DP788" s="1332"/>
      <c r="DQ788" s="1332"/>
      <c r="DR788" s="1332"/>
      <c r="DS788" s="1333"/>
      <c r="DT788" s="6"/>
      <c r="DU788" s="1331">
        <f t="shared" si="47"/>
        <v>0</v>
      </c>
      <c r="DV788" s="1332"/>
      <c r="DW788" s="1332"/>
      <c r="DX788" s="1332"/>
      <c r="DY788" s="1333"/>
      <c r="DZ788" s="1331">
        <f t="shared" si="48"/>
        <v>0</v>
      </c>
      <c r="EA788" s="1332"/>
      <c r="EB788" s="1332"/>
      <c r="EC788" s="1332"/>
      <c r="ED788" s="1333"/>
      <c r="EE788" s="1331">
        <f t="shared" si="49"/>
        <v>0</v>
      </c>
      <c r="EF788" s="1332"/>
      <c r="EG788" s="1332"/>
      <c r="EH788" s="1332"/>
      <c r="EI788" s="1333"/>
      <c r="EJ788" s="1331">
        <f t="shared" si="50"/>
        <v>0</v>
      </c>
      <c r="EK788" s="1332"/>
      <c r="EL788" s="1332"/>
      <c r="EM788" s="1332"/>
      <c r="EN788" s="1333"/>
      <c r="EO788" s="1331">
        <f t="shared" si="51"/>
        <v>0</v>
      </c>
      <c r="EP788" s="1332"/>
      <c r="EQ788" s="1332"/>
      <c r="ER788" s="1332"/>
      <c r="ES788" s="1333"/>
      <c r="ET788" s="1331">
        <f t="shared" si="52"/>
        <v>0</v>
      </c>
      <c r="EU788" s="1332"/>
      <c r="EV788" s="1332"/>
      <c r="EW788" s="1332"/>
      <c r="EX788" s="1333"/>
    </row>
    <row r="789" spans="1:154" s="14" customFormat="1" ht="13.05" customHeight="1">
      <c r="A789"/>
      <c r="B789"/>
      <c r="C789"/>
      <c r="D789"/>
      <c r="E789"/>
      <c r="F789"/>
      <c r="G789"/>
      <c r="H789"/>
      <c r="I789"/>
      <c r="J789" s="1354"/>
      <c r="K789" s="1355"/>
      <c r="L789" s="1355"/>
      <c r="M789" s="1355"/>
      <c r="N789" s="1356"/>
      <c r="O789" s="1463"/>
      <c r="P789" s="1463"/>
      <c r="Q789" s="1463"/>
      <c r="R789" s="1463"/>
      <c r="S789" s="1463"/>
      <c r="T789" s="1598"/>
      <c r="U789" s="1599"/>
      <c r="V789" s="1599"/>
      <c r="W789" s="1600"/>
      <c r="X789" s="1467"/>
      <c r="Y789" s="1468"/>
      <c r="Z789" s="1468"/>
      <c r="AA789" s="1468"/>
      <c r="AB789" s="1469"/>
      <c r="AC789" s="1357">
        <f t="shared" si="40"/>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1"/>
        <v>0</v>
      </c>
      <c r="CQ789" s="1332"/>
      <c r="CR789" s="1332"/>
      <c r="CS789" s="1332"/>
      <c r="CT789" s="1333"/>
      <c r="CU789" s="1331">
        <f t="shared" si="42"/>
        <v>0</v>
      </c>
      <c r="CV789" s="1332"/>
      <c r="CW789" s="1332"/>
      <c r="CX789" s="1332"/>
      <c r="CY789" s="1333"/>
      <c r="CZ789" s="1331">
        <f t="shared" si="43"/>
        <v>0</v>
      </c>
      <c r="DA789" s="1332"/>
      <c r="DB789" s="1332"/>
      <c r="DC789" s="1332"/>
      <c r="DD789" s="1333"/>
      <c r="DE789" s="1331">
        <f t="shared" si="44"/>
        <v>0</v>
      </c>
      <c r="DF789" s="1332"/>
      <c r="DG789" s="1332"/>
      <c r="DH789" s="1332"/>
      <c r="DI789" s="1333"/>
      <c r="DJ789" s="1331">
        <f t="shared" si="45"/>
        <v>0</v>
      </c>
      <c r="DK789" s="1332"/>
      <c r="DL789" s="1332"/>
      <c r="DM789" s="1332"/>
      <c r="DN789" s="1333"/>
      <c r="DO789" s="1331">
        <f t="shared" si="46"/>
        <v>0</v>
      </c>
      <c r="DP789" s="1332"/>
      <c r="DQ789" s="1332"/>
      <c r="DR789" s="1332"/>
      <c r="DS789" s="1333"/>
      <c r="DT789" s="6"/>
      <c r="DU789" s="1331">
        <f t="shared" si="47"/>
        <v>0</v>
      </c>
      <c r="DV789" s="1332"/>
      <c r="DW789" s="1332"/>
      <c r="DX789" s="1332"/>
      <c r="DY789" s="1333"/>
      <c r="DZ789" s="1331">
        <f t="shared" si="48"/>
        <v>0</v>
      </c>
      <c r="EA789" s="1332"/>
      <c r="EB789" s="1332"/>
      <c r="EC789" s="1332"/>
      <c r="ED789" s="1333"/>
      <c r="EE789" s="1331">
        <f t="shared" si="49"/>
        <v>0</v>
      </c>
      <c r="EF789" s="1332"/>
      <c r="EG789" s="1332"/>
      <c r="EH789" s="1332"/>
      <c r="EI789" s="1333"/>
      <c r="EJ789" s="1331">
        <f t="shared" si="50"/>
        <v>0</v>
      </c>
      <c r="EK789" s="1332"/>
      <c r="EL789" s="1332"/>
      <c r="EM789" s="1332"/>
      <c r="EN789" s="1333"/>
      <c r="EO789" s="1331">
        <f t="shared" si="51"/>
        <v>0</v>
      </c>
      <c r="EP789" s="1332"/>
      <c r="EQ789" s="1332"/>
      <c r="ER789" s="1332"/>
      <c r="ES789" s="1333"/>
      <c r="ET789" s="1331">
        <f t="shared" si="52"/>
        <v>0</v>
      </c>
      <c r="EU789" s="1332"/>
      <c r="EV789" s="1332"/>
      <c r="EW789" s="1332"/>
      <c r="EX789" s="1333"/>
    </row>
    <row r="790" spans="1:154" s="14" customFormat="1" ht="13.05" customHeight="1">
      <c r="A790"/>
      <c r="B790"/>
      <c r="C790"/>
      <c r="D790"/>
      <c r="E790"/>
      <c r="F790"/>
      <c r="G790"/>
      <c r="H790"/>
      <c r="I790"/>
      <c r="J790" s="1354"/>
      <c r="K790" s="1355"/>
      <c r="L790" s="1355"/>
      <c r="M790" s="1355"/>
      <c r="N790" s="1356"/>
      <c r="O790" s="1463"/>
      <c r="P790" s="1463"/>
      <c r="Q790" s="1463"/>
      <c r="R790" s="1463"/>
      <c r="S790" s="1463"/>
      <c r="T790" s="1598"/>
      <c r="U790" s="1599"/>
      <c r="V790" s="1599"/>
      <c r="W790" s="1600"/>
      <c r="X790" s="1467"/>
      <c r="Y790" s="1468"/>
      <c r="Z790" s="1468"/>
      <c r="AA790" s="1468"/>
      <c r="AB790" s="1469"/>
      <c r="AC790" s="1357">
        <f t="shared" si="40"/>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1"/>
        <v>0</v>
      </c>
      <c r="CQ790" s="1332"/>
      <c r="CR790" s="1332"/>
      <c r="CS790" s="1332"/>
      <c r="CT790" s="1333"/>
      <c r="CU790" s="1331">
        <f t="shared" si="42"/>
        <v>0</v>
      </c>
      <c r="CV790" s="1332"/>
      <c r="CW790" s="1332"/>
      <c r="CX790" s="1332"/>
      <c r="CY790" s="1333"/>
      <c r="CZ790" s="1331">
        <f t="shared" si="43"/>
        <v>0</v>
      </c>
      <c r="DA790" s="1332"/>
      <c r="DB790" s="1332"/>
      <c r="DC790" s="1332"/>
      <c r="DD790" s="1333"/>
      <c r="DE790" s="1331">
        <f t="shared" si="44"/>
        <v>0</v>
      </c>
      <c r="DF790" s="1332"/>
      <c r="DG790" s="1332"/>
      <c r="DH790" s="1332"/>
      <c r="DI790" s="1333"/>
      <c r="DJ790" s="1331">
        <f t="shared" si="45"/>
        <v>0</v>
      </c>
      <c r="DK790" s="1332"/>
      <c r="DL790" s="1332"/>
      <c r="DM790" s="1332"/>
      <c r="DN790" s="1333"/>
      <c r="DO790" s="1331">
        <f t="shared" si="46"/>
        <v>0</v>
      </c>
      <c r="DP790" s="1332"/>
      <c r="DQ790" s="1332"/>
      <c r="DR790" s="1332"/>
      <c r="DS790" s="1333"/>
      <c r="DT790" s="6"/>
      <c r="DU790" s="1331">
        <f t="shared" si="47"/>
        <v>0</v>
      </c>
      <c r="DV790" s="1332"/>
      <c r="DW790" s="1332"/>
      <c r="DX790" s="1332"/>
      <c r="DY790" s="1333"/>
      <c r="DZ790" s="1331">
        <f t="shared" si="48"/>
        <v>0</v>
      </c>
      <c r="EA790" s="1332"/>
      <c r="EB790" s="1332"/>
      <c r="EC790" s="1332"/>
      <c r="ED790" s="1333"/>
      <c r="EE790" s="1331">
        <f t="shared" si="49"/>
        <v>0</v>
      </c>
      <c r="EF790" s="1332"/>
      <c r="EG790" s="1332"/>
      <c r="EH790" s="1332"/>
      <c r="EI790" s="1333"/>
      <c r="EJ790" s="1331">
        <f t="shared" si="50"/>
        <v>0</v>
      </c>
      <c r="EK790" s="1332"/>
      <c r="EL790" s="1332"/>
      <c r="EM790" s="1332"/>
      <c r="EN790" s="1333"/>
      <c r="EO790" s="1331">
        <f t="shared" si="51"/>
        <v>0</v>
      </c>
      <c r="EP790" s="1332"/>
      <c r="EQ790" s="1332"/>
      <c r="ER790" s="1332"/>
      <c r="ES790" s="1333"/>
      <c r="ET790" s="1331">
        <f t="shared" si="52"/>
        <v>0</v>
      </c>
      <c r="EU790" s="1332"/>
      <c r="EV790" s="1332"/>
      <c r="EW790" s="1332"/>
      <c r="EX790" s="1333"/>
    </row>
    <row r="791" spans="1:154" s="14" customFormat="1" ht="13.05" customHeight="1">
      <c r="A791"/>
      <c r="B791"/>
      <c r="C791"/>
      <c r="D791"/>
      <c r="E791"/>
      <c r="F791"/>
      <c r="G791"/>
      <c r="H791"/>
      <c r="I791"/>
      <c r="J791" s="1354"/>
      <c r="K791" s="1355"/>
      <c r="L791" s="1355"/>
      <c r="M791" s="1355"/>
      <c r="N791" s="1356"/>
      <c r="O791" s="1463"/>
      <c r="P791" s="1463"/>
      <c r="Q791" s="1463"/>
      <c r="R791" s="1463"/>
      <c r="S791" s="1463"/>
      <c r="T791" s="1598"/>
      <c r="U791" s="1599"/>
      <c r="V791" s="1599"/>
      <c r="W791" s="1600"/>
      <c r="X791" s="1467"/>
      <c r="Y791" s="1468"/>
      <c r="Z791" s="1468"/>
      <c r="AA791" s="1468"/>
      <c r="AB791" s="1469"/>
      <c r="AC791" s="1357">
        <f t="shared" si="40"/>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1"/>
        <v>0</v>
      </c>
      <c r="CQ791" s="1332"/>
      <c r="CR791" s="1332"/>
      <c r="CS791" s="1332"/>
      <c r="CT791" s="1333"/>
      <c r="CU791" s="1331">
        <f t="shared" si="42"/>
        <v>0</v>
      </c>
      <c r="CV791" s="1332"/>
      <c r="CW791" s="1332"/>
      <c r="CX791" s="1332"/>
      <c r="CY791" s="1333"/>
      <c r="CZ791" s="1331">
        <f t="shared" si="43"/>
        <v>0</v>
      </c>
      <c r="DA791" s="1332"/>
      <c r="DB791" s="1332"/>
      <c r="DC791" s="1332"/>
      <c r="DD791" s="1333"/>
      <c r="DE791" s="1331">
        <f t="shared" si="44"/>
        <v>0</v>
      </c>
      <c r="DF791" s="1332"/>
      <c r="DG791" s="1332"/>
      <c r="DH791" s="1332"/>
      <c r="DI791" s="1333"/>
      <c r="DJ791" s="1331">
        <f t="shared" si="45"/>
        <v>0</v>
      </c>
      <c r="DK791" s="1332"/>
      <c r="DL791" s="1332"/>
      <c r="DM791" s="1332"/>
      <c r="DN791" s="1333"/>
      <c r="DO791" s="1331">
        <f t="shared" si="46"/>
        <v>0</v>
      </c>
      <c r="DP791" s="1332"/>
      <c r="DQ791" s="1332"/>
      <c r="DR791" s="1332"/>
      <c r="DS791" s="1333"/>
      <c r="DT791" s="6"/>
      <c r="DU791" s="1331">
        <f t="shared" si="47"/>
        <v>0</v>
      </c>
      <c r="DV791" s="1332"/>
      <c r="DW791" s="1332"/>
      <c r="DX791" s="1332"/>
      <c r="DY791" s="1333"/>
      <c r="DZ791" s="1331">
        <f t="shared" si="48"/>
        <v>0</v>
      </c>
      <c r="EA791" s="1332"/>
      <c r="EB791" s="1332"/>
      <c r="EC791" s="1332"/>
      <c r="ED791" s="1333"/>
      <c r="EE791" s="1331">
        <f t="shared" si="49"/>
        <v>0</v>
      </c>
      <c r="EF791" s="1332"/>
      <c r="EG791" s="1332"/>
      <c r="EH791" s="1332"/>
      <c r="EI791" s="1333"/>
      <c r="EJ791" s="1331">
        <f t="shared" si="50"/>
        <v>0</v>
      </c>
      <c r="EK791" s="1332"/>
      <c r="EL791" s="1332"/>
      <c r="EM791" s="1332"/>
      <c r="EN791" s="1333"/>
      <c r="EO791" s="1331">
        <f t="shared" si="51"/>
        <v>0</v>
      </c>
      <c r="EP791" s="1332"/>
      <c r="EQ791" s="1332"/>
      <c r="ER791" s="1332"/>
      <c r="ES791" s="1333"/>
      <c r="ET791" s="1331">
        <f t="shared" si="52"/>
        <v>0</v>
      </c>
      <c r="EU791" s="1332"/>
      <c r="EV791" s="1332"/>
      <c r="EW791" s="1332"/>
      <c r="EX791" s="1333"/>
    </row>
    <row r="792" spans="1:154" s="14" customFormat="1" ht="13.05" customHeight="1">
      <c r="A792"/>
      <c r="B792"/>
      <c r="C792"/>
      <c r="D792"/>
      <c r="E792"/>
      <c r="F792"/>
      <c r="G792"/>
      <c r="H792"/>
      <c r="I792"/>
      <c r="J792" s="1354"/>
      <c r="K792" s="1355"/>
      <c r="L792" s="1355"/>
      <c r="M792" s="1355"/>
      <c r="N792" s="1356"/>
      <c r="O792" s="1463"/>
      <c r="P792" s="1463"/>
      <c r="Q792" s="1463"/>
      <c r="R792" s="1463"/>
      <c r="S792" s="1463"/>
      <c r="T792" s="1598"/>
      <c r="U792" s="1599"/>
      <c r="V792" s="1599"/>
      <c r="W792" s="1600"/>
      <c r="X792" s="1467"/>
      <c r="Y792" s="1468"/>
      <c r="Z792" s="1468"/>
      <c r="AA792" s="1468"/>
      <c r="AB792" s="1469"/>
      <c r="AC792" s="1357">
        <f t="shared" si="40"/>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1"/>
        <v>0</v>
      </c>
      <c r="CQ792" s="1332"/>
      <c r="CR792" s="1332"/>
      <c r="CS792" s="1332"/>
      <c r="CT792" s="1333"/>
      <c r="CU792" s="1331">
        <f t="shared" si="42"/>
        <v>0</v>
      </c>
      <c r="CV792" s="1332"/>
      <c r="CW792" s="1332"/>
      <c r="CX792" s="1332"/>
      <c r="CY792" s="1333"/>
      <c r="CZ792" s="1331">
        <f t="shared" si="43"/>
        <v>0</v>
      </c>
      <c r="DA792" s="1332"/>
      <c r="DB792" s="1332"/>
      <c r="DC792" s="1332"/>
      <c r="DD792" s="1333"/>
      <c r="DE792" s="1331">
        <f t="shared" si="44"/>
        <v>0</v>
      </c>
      <c r="DF792" s="1332"/>
      <c r="DG792" s="1332"/>
      <c r="DH792" s="1332"/>
      <c r="DI792" s="1333"/>
      <c r="DJ792" s="1331">
        <f t="shared" si="45"/>
        <v>0</v>
      </c>
      <c r="DK792" s="1332"/>
      <c r="DL792" s="1332"/>
      <c r="DM792" s="1332"/>
      <c r="DN792" s="1333"/>
      <c r="DO792" s="1331">
        <f t="shared" si="46"/>
        <v>0</v>
      </c>
      <c r="DP792" s="1332"/>
      <c r="DQ792" s="1332"/>
      <c r="DR792" s="1332"/>
      <c r="DS792" s="1333"/>
      <c r="DT792" s="6"/>
      <c r="DU792" s="1331">
        <f t="shared" si="47"/>
        <v>0</v>
      </c>
      <c r="DV792" s="1332"/>
      <c r="DW792" s="1332"/>
      <c r="DX792" s="1332"/>
      <c r="DY792" s="1333"/>
      <c r="DZ792" s="1331">
        <f t="shared" si="48"/>
        <v>0</v>
      </c>
      <c r="EA792" s="1332"/>
      <c r="EB792" s="1332"/>
      <c r="EC792" s="1332"/>
      <c r="ED792" s="1333"/>
      <c r="EE792" s="1331">
        <f t="shared" si="49"/>
        <v>0</v>
      </c>
      <c r="EF792" s="1332"/>
      <c r="EG792" s="1332"/>
      <c r="EH792" s="1332"/>
      <c r="EI792" s="1333"/>
      <c r="EJ792" s="1331">
        <f t="shared" si="50"/>
        <v>0</v>
      </c>
      <c r="EK792" s="1332"/>
      <c r="EL792" s="1332"/>
      <c r="EM792" s="1332"/>
      <c r="EN792" s="1333"/>
      <c r="EO792" s="1331">
        <f t="shared" si="51"/>
        <v>0</v>
      </c>
      <c r="EP792" s="1332"/>
      <c r="EQ792" s="1332"/>
      <c r="ER792" s="1332"/>
      <c r="ES792" s="1333"/>
      <c r="ET792" s="1331">
        <f t="shared" si="52"/>
        <v>0</v>
      </c>
      <c r="EU792" s="1332"/>
      <c r="EV792" s="1332"/>
      <c r="EW792" s="1332"/>
      <c r="EX792" s="1333"/>
    </row>
    <row r="793" spans="1:154" s="14" customFormat="1" ht="13.05" customHeight="1">
      <c r="A793"/>
      <c r="B793"/>
      <c r="C793"/>
      <c r="D793"/>
      <c r="E793"/>
      <c r="F793"/>
      <c r="G793"/>
      <c r="H793"/>
      <c r="I793"/>
      <c r="J793" s="1354"/>
      <c r="K793" s="1355"/>
      <c r="L793" s="1355"/>
      <c r="M793" s="1355"/>
      <c r="N793" s="1356"/>
      <c r="O793" s="1463"/>
      <c r="P793" s="1463"/>
      <c r="Q793" s="1463"/>
      <c r="R793" s="1463"/>
      <c r="S793" s="1463"/>
      <c r="T793" s="1598"/>
      <c r="U793" s="1599"/>
      <c r="V793" s="1599"/>
      <c r="W793" s="1600"/>
      <c r="X793" s="1467"/>
      <c r="Y793" s="1468"/>
      <c r="Z793" s="1468"/>
      <c r="AA793" s="1468"/>
      <c r="AB793" s="1469"/>
      <c r="AC793" s="1357">
        <f t="shared" si="40"/>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1"/>
        <v>0</v>
      </c>
      <c r="CQ793" s="1332"/>
      <c r="CR793" s="1332"/>
      <c r="CS793" s="1332"/>
      <c r="CT793" s="1333"/>
      <c r="CU793" s="1331">
        <f t="shared" si="42"/>
        <v>0</v>
      </c>
      <c r="CV793" s="1332"/>
      <c r="CW793" s="1332"/>
      <c r="CX793" s="1332"/>
      <c r="CY793" s="1333"/>
      <c r="CZ793" s="1331">
        <f t="shared" si="43"/>
        <v>0</v>
      </c>
      <c r="DA793" s="1332"/>
      <c r="DB793" s="1332"/>
      <c r="DC793" s="1332"/>
      <c r="DD793" s="1333"/>
      <c r="DE793" s="1331">
        <f t="shared" si="44"/>
        <v>0</v>
      </c>
      <c r="DF793" s="1332"/>
      <c r="DG793" s="1332"/>
      <c r="DH793" s="1332"/>
      <c r="DI793" s="1333"/>
      <c r="DJ793" s="1331">
        <f t="shared" si="45"/>
        <v>0</v>
      </c>
      <c r="DK793" s="1332"/>
      <c r="DL793" s="1332"/>
      <c r="DM793" s="1332"/>
      <c r="DN793" s="1333"/>
      <c r="DO793" s="1331">
        <f t="shared" si="46"/>
        <v>0</v>
      </c>
      <c r="DP793" s="1332"/>
      <c r="DQ793" s="1332"/>
      <c r="DR793" s="1332"/>
      <c r="DS793" s="1333"/>
      <c r="DT793" s="6"/>
      <c r="DU793" s="1331">
        <f t="shared" si="47"/>
        <v>0</v>
      </c>
      <c r="DV793" s="1332"/>
      <c r="DW793" s="1332"/>
      <c r="DX793" s="1332"/>
      <c r="DY793" s="1333"/>
      <c r="DZ793" s="1331">
        <f t="shared" si="48"/>
        <v>0</v>
      </c>
      <c r="EA793" s="1332"/>
      <c r="EB793" s="1332"/>
      <c r="EC793" s="1332"/>
      <c r="ED793" s="1333"/>
      <c r="EE793" s="1331">
        <f t="shared" si="49"/>
        <v>0</v>
      </c>
      <c r="EF793" s="1332"/>
      <c r="EG793" s="1332"/>
      <c r="EH793" s="1332"/>
      <c r="EI793" s="1333"/>
      <c r="EJ793" s="1331">
        <f t="shared" si="50"/>
        <v>0</v>
      </c>
      <c r="EK793" s="1332"/>
      <c r="EL793" s="1332"/>
      <c r="EM793" s="1332"/>
      <c r="EN793" s="1333"/>
      <c r="EO793" s="1331">
        <f t="shared" si="51"/>
        <v>0</v>
      </c>
      <c r="EP793" s="1332"/>
      <c r="EQ793" s="1332"/>
      <c r="ER793" s="1332"/>
      <c r="ES793" s="1333"/>
      <c r="ET793" s="1331">
        <f t="shared" si="52"/>
        <v>0</v>
      </c>
      <c r="EU793" s="1332"/>
      <c r="EV793" s="1332"/>
      <c r="EW793" s="1332"/>
      <c r="EX793" s="1333"/>
    </row>
    <row r="794" spans="1:154" s="14" customFormat="1" ht="13.05" customHeight="1">
      <c r="A794"/>
      <c r="B794"/>
      <c r="C794"/>
      <c r="D794"/>
      <c r="E794"/>
      <c r="F794"/>
      <c r="G794"/>
      <c r="H794"/>
      <c r="I794"/>
      <c r="J794" s="1354"/>
      <c r="K794" s="1355"/>
      <c r="L794" s="1355"/>
      <c r="M794" s="1355"/>
      <c r="N794" s="1356"/>
      <c r="O794" s="1463"/>
      <c r="P794" s="1463"/>
      <c r="Q794" s="1463"/>
      <c r="R794" s="1463"/>
      <c r="S794" s="1463"/>
      <c r="T794" s="1598"/>
      <c r="U794" s="1599"/>
      <c r="V794" s="1599"/>
      <c r="W794" s="1600"/>
      <c r="X794" s="1467"/>
      <c r="Y794" s="1468"/>
      <c r="Z794" s="1468"/>
      <c r="AA794" s="1468"/>
      <c r="AB794" s="1469"/>
      <c r="AC794" s="1357">
        <f t="shared" si="40"/>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1"/>
        <v>0</v>
      </c>
      <c r="CQ794" s="1332"/>
      <c r="CR794" s="1332"/>
      <c r="CS794" s="1332"/>
      <c r="CT794" s="1333"/>
      <c r="CU794" s="1331">
        <f t="shared" si="42"/>
        <v>0</v>
      </c>
      <c r="CV794" s="1332"/>
      <c r="CW794" s="1332"/>
      <c r="CX794" s="1332"/>
      <c r="CY794" s="1333"/>
      <c r="CZ794" s="1331">
        <f t="shared" si="43"/>
        <v>0</v>
      </c>
      <c r="DA794" s="1332"/>
      <c r="DB794" s="1332"/>
      <c r="DC794" s="1332"/>
      <c r="DD794" s="1333"/>
      <c r="DE794" s="1331">
        <f t="shared" si="44"/>
        <v>0</v>
      </c>
      <c r="DF794" s="1332"/>
      <c r="DG794" s="1332"/>
      <c r="DH794" s="1332"/>
      <c r="DI794" s="1333"/>
      <c r="DJ794" s="1331">
        <f t="shared" si="45"/>
        <v>0</v>
      </c>
      <c r="DK794" s="1332"/>
      <c r="DL794" s="1332"/>
      <c r="DM794" s="1332"/>
      <c r="DN794" s="1333"/>
      <c r="DO794" s="1331">
        <f t="shared" si="46"/>
        <v>0</v>
      </c>
      <c r="DP794" s="1332"/>
      <c r="DQ794" s="1332"/>
      <c r="DR794" s="1332"/>
      <c r="DS794" s="1333"/>
      <c r="DT794" s="6"/>
      <c r="DU794" s="1331">
        <f t="shared" si="47"/>
        <v>0</v>
      </c>
      <c r="DV794" s="1332"/>
      <c r="DW794" s="1332"/>
      <c r="DX794" s="1332"/>
      <c r="DY794" s="1333"/>
      <c r="DZ794" s="1331">
        <f t="shared" si="48"/>
        <v>0</v>
      </c>
      <c r="EA794" s="1332"/>
      <c r="EB794" s="1332"/>
      <c r="EC794" s="1332"/>
      <c r="ED794" s="1333"/>
      <c r="EE794" s="1331">
        <f t="shared" si="49"/>
        <v>0</v>
      </c>
      <c r="EF794" s="1332"/>
      <c r="EG794" s="1332"/>
      <c r="EH794" s="1332"/>
      <c r="EI794" s="1333"/>
      <c r="EJ794" s="1331">
        <f t="shared" si="50"/>
        <v>0</v>
      </c>
      <c r="EK794" s="1332"/>
      <c r="EL794" s="1332"/>
      <c r="EM794" s="1332"/>
      <c r="EN794" s="1333"/>
      <c r="EO794" s="1331">
        <f t="shared" si="51"/>
        <v>0</v>
      </c>
      <c r="EP794" s="1332"/>
      <c r="EQ794" s="1332"/>
      <c r="ER794" s="1332"/>
      <c r="ES794" s="1333"/>
      <c r="ET794" s="1331">
        <f t="shared" si="52"/>
        <v>0</v>
      </c>
      <c r="EU794" s="1332"/>
      <c r="EV794" s="1332"/>
      <c r="EW794" s="1332"/>
      <c r="EX794" s="1333"/>
    </row>
    <row r="795" spans="1:154" s="14" customFormat="1" ht="13.05" customHeight="1">
      <c r="A795"/>
      <c r="B795"/>
      <c r="C795"/>
      <c r="D795"/>
      <c r="E795"/>
      <c r="F795"/>
      <c r="G795"/>
      <c r="H795"/>
      <c r="I795"/>
      <c r="J795" s="1354"/>
      <c r="K795" s="1355"/>
      <c r="L795" s="1355"/>
      <c r="M795" s="1355"/>
      <c r="N795" s="1356"/>
      <c r="O795" s="1463"/>
      <c r="P795" s="1463"/>
      <c r="Q795" s="1463"/>
      <c r="R795" s="1463"/>
      <c r="S795" s="1463"/>
      <c r="T795" s="1598"/>
      <c r="U795" s="1599"/>
      <c r="V795" s="1599"/>
      <c r="W795" s="1600"/>
      <c r="X795" s="1467"/>
      <c r="Y795" s="1468"/>
      <c r="Z795" s="1468"/>
      <c r="AA795" s="1468"/>
      <c r="AB795" s="1469"/>
      <c r="AC795" s="1357">
        <f t="shared" si="40"/>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1"/>
        <v>0</v>
      </c>
      <c r="CQ795" s="1332"/>
      <c r="CR795" s="1332"/>
      <c r="CS795" s="1332"/>
      <c r="CT795" s="1333"/>
      <c r="CU795" s="1331">
        <f t="shared" si="42"/>
        <v>0</v>
      </c>
      <c r="CV795" s="1332"/>
      <c r="CW795" s="1332"/>
      <c r="CX795" s="1332"/>
      <c r="CY795" s="1333"/>
      <c r="CZ795" s="1331">
        <f t="shared" si="43"/>
        <v>0</v>
      </c>
      <c r="DA795" s="1332"/>
      <c r="DB795" s="1332"/>
      <c r="DC795" s="1332"/>
      <c r="DD795" s="1333"/>
      <c r="DE795" s="1331">
        <f t="shared" si="44"/>
        <v>0</v>
      </c>
      <c r="DF795" s="1332"/>
      <c r="DG795" s="1332"/>
      <c r="DH795" s="1332"/>
      <c r="DI795" s="1333"/>
      <c r="DJ795" s="1331">
        <f t="shared" si="45"/>
        <v>0</v>
      </c>
      <c r="DK795" s="1332"/>
      <c r="DL795" s="1332"/>
      <c r="DM795" s="1332"/>
      <c r="DN795" s="1333"/>
      <c r="DO795" s="1331">
        <f t="shared" si="46"/>
        <v>0</v>
      </c>
      <c r="DP795" s="1332"/>
      <c r="DQ795" s="1332"/>
      <c r="DR795" s="1332"/>
      <c r="DS795" s="1333"/>
      <c r="DT795" s="6"/>
      <c r="DU795" s="1331">
        <f t="shared" si="47"/>
        <v>0</v>
      </c>
      <c r="DV795" s="1332"/>
      <c r="DW795" s="1332"/>
      <c r="DX795" s="1332"/>
      <c r="DY795" s="1333"/>
      <c r="DZ795" s="1331">
        <f t="shared" si="48"/>
        <v>0</v>
      </c>
      <c r="EA795" s="1332"/>
      <c r="EB795" s="1332"/>
      <c r="EC795" s="1332"/>
      <c r="ED795" s="1333"/>
      <c r="EE795" s="1331">
        <f t="shared" si="49"/>
        <v>0</v>
      </c>
      <c r="EF795" s="1332"/>
      <c r="EG795" s="1332"/>
      <c r="EH795" s="1332"/>
      <c r="EI795" s="1333"/>
      <c r="EJ795" s="1331">
        <f t="shared" si="50"/>
        <v>0</v>
      </c>
      <c r="EK795" s="1332"/>
      <c r="EL795" s="1332"/>
      <c r="EM795" s="1332"/>
      <c r="EN795" s="1333"/>
      <c r="EO795" s="1331">
        <f t="shared" si="51"/>
        <v>0</v>
      </c>
      <c r="EP795" s="1332"/>
      <c r="EQ795" s="1332"/>
      <c r="ER795" s="1332"/>
      <c r="ES795" s="1333"/>
      <c r="ET795" s="1331">
        <f t="shared" si="52"/>
        <v>0</v>
      </c>
      <c r="EU795" s="1332"/>
      <c r="EV795" s="1332"/>
      <c r="EW795" s="1332"/>
      <c r="EX795" s="1333"/>
    </row>
    <row r="796" spans="1:154" s="4" customFormat="1" ht="13.05" customHeight="1">
      <c r="A796"/>
      <c r="B796"/>
      <c r="C796"/>
      <c r="D796"/>
      <c r="E796"/>
      <c r="F796"/>
      <c r="G796"/>
      <c r="H796"/>
      <c r="I796"/>
      <c r="J796" s="1354"/>
      <c r="K796" s="1355"/>
      <c r="L796" s="1355"/>
      <c r="M796" s="1355"/>
      <c r="N796" s="1356"/>
      <c r="O796" s="1463"/>
      <c r="P796" s="1463"/>
      <c r="Q796" s="1463"/>
      <c r="R796" s="1463"/>
      <c r="S796" s="1463"/>
      <c r="T796" s="1598"/>
      <c r="U796" s="1599"/>
      <c r="V796" s="1599"/>
      <c r="W796" s="1600"/>
      <c r="X796" s="1467"/>
      <c r="Y796" s="1468"/>
      <c r="Z796" s="1468"/>
      <c r="AA796" s="1468"/>
      <c r="AB796" s="1469"/>
      <c r="AC796" s="1357">
        <f t="shared" si="40"/>
        <v>0</v>
      </c>
      <c r="AD796" s="1358"/>
      <c r="AE796" s="1358"/>
      <c r="AF796" s="1358"/>
      <c r="AG796" s="1359"/>
      <c r="AH796"/>
      <c r="AI796"/>
      <c r="AJ796"/>
      <c r="AK796"/>
      <c r="AL796"/>
      <c r="AM796"/>
      <c r="AN796"/>
      <c r="AO796"/>
      <c r="AP796"/>
      <c r="AQ796"/>
      <c r="AR796"/>
      <c r="AS796"/>
      <c r="AT796"/>
      <c r="AU796"/>
      <c r="AV796"/>
      <c r="AW796"/>
      <c r="AX796"/>
      <c r="AY796"/>
      <c r="AZ796" s="3"/>
      <c r="CP796" s="1331">
        <f t="shared" si="41"/>
        <v>0</v>
      </c>
      <c r="CQ796" s="1332"/>
      <c r="CR796" s="1332"/>
      <c r="CS796" s="1332"/>
      <c r="CT796" s="1333"/>
      <c r="CU796" s="1331">
        <f t="shared" si="42"/>
        <v>0</v>
      </c>
      <c r="CV796" s="1332"/>
      <c r="CW796" s="1332"/>
      <c r="CX796" s="1332"/>
      <c r="CY796" s="1333"/>
      <c r="CZ796" s="1331">
        <f t="shared" si="43"/>
        <v>0</v>
      </c>
      <c r="DA796" s="1332"/>
      <c r="DB796" s="1332"/>
      <c r="DC796" s="1332"/>
      <c r="DD796" s="1333"/>
      <c r="DE796" s="1331">
        <f t="shared" si="44"/>
        <v>0</v>
      </c>
      <c r="DF796" s="1332"/>
      <c r="DG796" s="1332"/>
      <c r="DH796" s="1332"/>
      <c r="DI796" s="1333"/>
      <c r="DJ796" s="1331">
        <f t="shared" si="45"/>
        <v>0</v>
      </c>
      <c r="DK796" s="1332"/>
      <c r="DL796" s="1332"/>
      <c r="DM796" s="1332"/>
      <c r="DN796" s="1333"/>
      <c r="DO796" s="1331">
        <f t="shared" si="46"/>
        <v>0</v>
      </c>
      <c r="DP796" s="1332"/>
      <c r="DQ796" s="1332"/>
      <c r="DR796" s="1332"/>
      <c r="DS796" s="1333"/>
      <c r="DT796" s="6"/>
      <c r="DU796" s="1331">
        <f t="shared" si="47"/>
        <v>0</v>
      </c>
      <c r="DV796" s="1332"/>
      <c r="DW796" s="1332"/>
      <c r="DX796" s="1332"/>
      <c r="DY796" s="1333"/>
      <c r="DZ796" s="1331">
        <f t="shared" si="48"/>
        <v>0</v>
      </c>
      <c r="EA796" s="1332"/>
      <c r="EB796" s="1332"/>
      <c r="EC796" s="1332"/>
      <c r="ED796" s="1333"/>
      <c r="EE796" s="1331">
        <f t="shared" si="49"/>
        <v>0</v>
      </c>
      <c r="EF796" s="1332"/>
      <c r="EG796" s="1332"/>
      <c r="EH796" s="1332"/>
      <c r="EI796" s="1333"/>
      <c r="EJ796" s="1331">
        <f t="shared" si="50"/>
        <v>0</v>
      </c>
      <c r="EK796" s="1332"/>
      <c r="EL796" s="1332"/>
      <c r="EM796" s="1332"/>
      <c r="EN796" s="1333"/>
      <c r="EO796" s="1331">
        <f t="shared" si="51"/>
        <v>0</v>
      </c>
      <c r="EP796" s="1332"/>
      <c r="EQ796" s="1332"/>
      <c r="ER796" s="1332"/>
      <c r="ES796" s="1333"/>
      <c r="ET796" s="1331">
        <f t="shared" si="52"/>
        <v>0</v>
      </c>
      <c r="EU796" s="1332"/>
      <c r="EV796" s="1332"/>
      <c r="EW796" s="1332"/>
      <c r="EX796" s="1333"/>
    </row>
    <row r="797" spans="1:154" s="4" customFormat="1" ht="13.05" customHeight="1">
      <c r="A797"/>
      <c r="B797"/>
      <c r="C797"/>
      <c r="D797"/>
      <c r="E797"/>
      <c r="F797"/>
      <c r="G797"/>
      <c r="H797"/>
      <c r="I797"/>
      <c r="J797" s="1407" t="s">
        <v>125</v>
      </c>
      <c r="K797" s="1408"/>
      <c r="L797" s="1408"/>
      <c r="M797" s="1408"/>
      <c r="N797" s="1410"/>
      <c r="O797" s="1619">
        <f>SUM(O787:S796)</f>
        <v>0</v>
      </c>
      <c r="P797" s="1619"/>
      <c r="Q797" s="1619"/>
      <c r="R797" s="1619"/>
      <c r="S797" s="1619"/>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3.05"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4">
        <f>SUM(DU797:EX797)</f>
        <v>0</v>
      </c>
      <c r="EU799" s="1345"/>
      <c r="EV799" s="1345"/>
      <c r="EW799" s="1345"/>
      <c r="EX799" s="1346"/>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595">
        <f>O753+AC777+AC797</f>
        <v>79025</v>
      </c>
      <c r="Z800" s="1595"/>
      <c r="AA800" s="1595"/>
      <c r="AB800" s="1595"/>
      <c r="AC800" s="159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5">
        <f>(O753+AC777+AC797)*12</f>
        <v>948300</v>
      </c>
      <c r="Z801" s="1595"/>
      <c r="AA801" s="1595"/>
      <c r="AB801" s="1595"/>
      <c r="AC801" s="159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0</v>
      </c>
      <c r="CQ802" s="1348"/>
      <c r="CR802" s="1348"/>
      <c r="CS802" s="1348"/>
      <c r="CT802" s="1349"/>
      <c r="CU802" s="1347">
        <f>CU753+CU777+CU797</f>
        <v>63</v>
      </c>
      <c r="CV802" s="1348"/>
      <c r="CW802" s="1348"/>
      <c r="CX802" s="1348"/>
      <c r="CY802" s="1349"/>
      <c r="CZ802" s="1347">
        <f>CZ753+CZ777+CZ797</f>
        <v>1</v>
      </c>
      <c r="DA802" s="1348"/>
      <c r="DB802" s="1348"/>
      <c r="DC802" s="1348"/>
      <c r="DD802" s="1349"/>
      <c r="DE802" s="1347">
        <f>DE753+DE777+DE797</f>
        <v>0</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63</v>
      </c>
      <c r="DV802" s="57" t="s">
        <v>1864</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18">
        <v>63</v>
      </c>
      <c r="AA806" s="1602"/>
      <c r="AB806" s="1602"/>
      <c r="AC806" s="1602"/>
      <c r="AD806" s="1602"/>
      <c r="AE806" s="160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1">
        <v>20</v>
      </c>
      <c r="AA807" s="1602"/>
      <c r="AB807" s="1602"/>
      <c r="AC807" s="1602"/>
      <c r="AD807" s="1602"/>
      <c r="AE807" s="160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7">
        <v>17319</v>
      </c>
      <c r="AA808" s="1524"/>
      <c r="AB808" s="1524"/>
      <c r="AC808" s="1524"/>
      <c r="AD808" s="1524"/>
      <c r="AE808" s="161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1">
        <f>'Subsidy Contract Calculation'!J40</f>
        <v>541020</v>
      </c>
      <c r="AA809" s="1472"/>
      <c r="AB809" s="1472"/>
      <c r="AC809" s="1472"/>
      <c r="AD809" s="1472"/>
      <c r="AE809" s="147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4">
        <v>3600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4"/>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4"/>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637" t="s">
        <v>333</v>
      </c>
      <c r="Q816" s="1638"/>
      <c r="R816" s="1638"/>
      <c r="S816" s="1638"/>
      <c r="T816" s="1638"/>
      <c r="U816" s="1638"/>
      <c r="V816" s="1638"/>
      <c r="W816" s="1638"/>
      <c r="X816" s="1638"/>
      <c r="Y816" s="1639"/>
      <c r="Z816" s="1474"/>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1">
        <f>SUM(Z813:AE816)</f>
        <v>3600</v>
      </c>
      <c r="AA817" s="1472"/>
      <c r="AB817" s="1472"/>
      <c r="AC817" s="1472"/>
      <c r="AD817" s="1472"/>
      <c r="AE817" s="1473"/>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1">
        <f>Z817+Y801+Z809</f>
        <v>1492920</v>
      </c>
      <c r="AA818" s="1472"/>
      <c r="AB818" s="1472"/>
      <c r="AC818" s="1472"/>
      <c r="AD818" s="1472"/>
      <c r="AE818" s="147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681" t="s">
        <v>126</v>
      </c>
      <c r="N823" s="1681"/>
      <c r="O823" s="1681"/>
      <c r="P823" s="1682"/>
      <c r="Q823" s="1616" t="s">
        <v>289</v>
      </c>
      <c r="R823" s="1616"/>
      <c r="S823" s="1616"/>
      <c r="T823" s="1616"/>
      <c r="U823" s="1616" t="s">
        <v>290</v>
      </c>
      <c r="V823" s="1616"/>
      <c r="W823" s="1616"/>
      <c r="X823" s="1616"/>
      <c r="Y823" s="1616" t="s">
        <v>291</v>
      </c>
      <c r="Z823" s="1616"/>
      <c r="AA823" s="1616"/>
      <c r="AB823" s="1616"/>
      <c r="AC823" s="1616" t="s">
        <v>360</v>
      </c>
      <c r="AD823" s="1616"/>
      <c r="AE823" s="1616"/>
      <c r="AF823" s="1616"/>
      <c r="AG823" s="1611" t="s">
        <v>334</v>
      </c>
      <c r="AH823" s="1611"/>
      <c r="AI823" s="1611"/>
      <c r="AJ823" s="1611"/>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683"/>
      <c r="N824" s="1683"/>
      <c r="O824" s="1683"/>
      <c r="P824" s="1684"/>
      <c r="Q824" s="1616"/>
      <c r="R824" s="1616"/>
      <c r="S824" s="1616"/>
      <c r="T824" s="1616"/>
      <c r="U824" s="1616"/>
      <c r="V824" s="1616"/>
      <c r="W824" s="1616"/>
      <c r="X824" s="1616"/>
      <c r="Y824" s="1616"/>
      <c r="Z824" s="1616"/>
      <c r="AA824" s="1616"/>
      <c r="AB824" s="1616"/>
      <c r="AC824" s="1616"/>
      <c r="AD824" s="1616"/>
      <c r="AE824" s="1616"/>
      <c r="AF824" s="1616"/>
      <c r="AG824" s="1611"/>
      <c r="AH824" s="1611"/>
      <c r="AI824" s="1611"/>
      <c r="AJ824" s="1611"/>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597" t="s">
        <v>40</v>
      </c>
      <c r="D825" s="1482"/>
      <c r="E825" s="1482"/>
      <c r="F825" s="1482"/>
      <c r="G825" s="1482"/>
      <c r="H825" s="1482"/>
      <c r="I825" s="48"/>
      <c r="J825" s="48"/>
      <c r="K825" s="48"/>
      <c r="L825" s="49"/>
      <c r="M825" s="1594"/>
      <c r="N825" s="1594"/>
      <c r="O825" s="1594"/>
      <c r="P825" s="1594"/>
      <c r="Q825" s="1594"/>
      <c r="R825" s="1594"/>
      <c r="S825" s="1594"/>
      <c r="T825" s="1594"/>
      <c r="U825" s="1594"/>
      <c r="V825" s="1594"/>
      <c r="W825" s="1594"/>
      <c r="X825" s="1594"/>
      <c r="Y825" s="1594"/>
      <c r="Z825" s="1594"/>
      <c r="AA825" s="1594"/>
      <c r="AB825" s="1594"/>
      <c r="AC825" s="1489"/>
      <c r="AD825" s="1490"/>
      <c r="AE825" s="1490"/>
      <c r="AF825" s="1491"/>
      <c r="AG825" s="1489"/>
      <c r="AH825" s="1490"/>
      <c r="AI825" s="1490"/>
      <c r="AJ825" s="1491"/>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494" t="s">
        <v>41</v>
      </c>
      <c r="D826" s="1440"/>
      <c r="E826" s="1440"/>
      <c r="F826" s="1440"/>
      <c r="G826" s="1440"/>
      <c r="H826" s="1440"/>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489"/>
      <c r="AD826" s="1490"/>
      <c r="AE826" s="1490"/>
      <c r="AF826" s="1491"/>
      <c r="AG826" s="1489"/>
      <c r="AH826" s="1490"/>
      <c r="AI826" s="1490"/>
      <c r="AJ826" s="1491"/>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494" t="s">
        <v>42</v>
      </c>
      <c r="D827" s="1440"/>
      <c r="E827" s="1440"/>
      <c r="F827" s="1440"/>
      <c r="G827" s="1440"/>
      <c r="H827" s="1440"/>
      <c r="I827" s="60"/>
      <c r="J827" s="60"/>
      <c r="K827" s="60"/>
      <c r="L827" s="61"/>
      <c r="M827" s="1594"/>
      <c r="N827" s="1594"/>
      <c r="O827" s="1594"/>
      <c r="P827" s="1594"/>
      <c r="Q827" s="1594"/>
      <c r="R827" s="1594"/>
      <c r="S827" s="1594"/>
      <c r="T827" s="1594"/>
      <c r="U827" s="1594"/>
      <c r="V827" s="1594"/>
      <c r="W827" s="1594"/>
      <c r="X827" s="1594"/>
      <c r="Y827" s="1594"/>
      <c r="Z827" s="1594"/>
      <c r="AA827" s="1594"/>
      <c r="AB827" s="1594"/>
      <c r="AC827" s="1489"/>
      <c r="AD827" s="1490"/>
      <c r="AE827" s="1490"/>
      <c r="AF827" s="1491"/>
      <c r="AG827" s="1489"/>
      <c r="AH827" s="1490"/>
      <c r="AI827" s="1490"/>
      <c r="AJ827" s="1491"/>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494" t="s">
        <v>762</v>
      </c>
      <c r="D828" s="1440"/>
      <c r="E828" s="1440"/>
      <c r="F828" s="1440"/>
      <c r="G828" s="1440"/>
      <c r="H828" s="1440"/>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489"/>
      <c r="AD828" s="1490"/>
      <c r="AE828" s="1490"/>
      <c r="AF828" s="1491"/>
      <c r="AG828" s="1489"/>
      <c r="AH828" s="1490"/>
      <c r="AI828" s="1490"/>
      <c r="AJ828" s="1491"/>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494" t="s">
        <v>459</v>
      </c>
      <c r="D829" s="1440"/>
      <c r="E829" s="1440"/>
      <c r="F829" s="1440"/>
      <c r="G829" s="1440"/>
      <c r="H829" s="1440"/>
      <c r="I829" s="60"/>
      <c r="J829" s="60"/>
      <c r="K829" s="60"/>
      <c r="L829" s="61"/>
      <c r="M829" s="1594"/>
      <c r="N829" s="1594"/>
      <c r="O829" s="1594"/>
      <c r="P829" s="1594"/>
      <c r="Q829" s="1594">
        <v>25</v>
      </c>
      <c r="R829" s="1594"/>
      <c r="S829" s="1594"/>
      <c r="T829" s="1594"/>
      <c r="U829" s="1594"/>
      <c r="V829" s="1594"/>
      <c r="W829" s="1594"/>
      <c r="X829" s="1594"/>
      <c r="Y829" s="1594"/>
      <c r="Z829" s="1594"/>
      <c r="AA829" s="1594"/>
      <c r="AB829" s="1594"/>
      <c r="AC829" s="1489"/>
      <c r="AD829" s="1490"/>
      <c r="AE829" s="1490"/>
      <c r="AF829" s="1491"/>
      <c r="AG829" s="1489"/>
      <c r="AH829" s="1490"/>
      <c r="AI829" s="1490"/>
      <c r="AJ829" s="1491"/>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696" t="s">
        <v>783</v>
      </c>
      <c r="D830" s="1440"/>
      <c r="E830" s="1440"/>
      <c r="F830" s="1440"/>
      <c r="G830" s="1440"/>
      <c r="H830" s="1440"/>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489"/>
      <c r="AD830" s="1490"/>
      <c r="AE830" s="1490"/>
      <c r="AF830" s="1491"/>
      <c r="AG830" s="1489"/>
      <c r="AH830" s="1490"/>
      <c r="AI830" s="1490"/>
      <c r="AJ830" s="1491"/>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292</v>
      </c>
      <c r="D831" s="60"/>
      <c r="E831" s="60"/>
      <c r="F831" s="1637" t="s">
        <v>333</v>
      </c>
      <c r="G831" s="1638"/>
      <c r="H831" s="1638"/>
      <c r="I831" s="1638"/>
      <c r="J831" s="1638"/>
      <c r="K831" s="1638"/>
      <c r="L831" s="1638"/>
      <c r="M831" s="1594"/>
      <c r="N831" s="1594"/>
      <c r="O831" s="1594"/>
      <c r="P831" s="1594"/>
      <c r="Q831" s="1594"/>
      <c r="R831" s="1594"/>
      <c r="S831" s="1594"/>
      <c r="T831" s="1594"/>
      <c r="U831" s="1594"/>
      <c r="V831" s="1594"/>
      <c r="W831" s="1594"/>
      <c r="X831" s="1594"/>
      <c r="Y831" s="1594"/>
      <c r="Z831" s="1594"/>
      <c r="AA831" s="1594"/>
      <c r="AB831" s="1594"/>
      <c r="AC831" s="1489"/>
      <c r="AD831" s="1490"/>
      <c r="AE831" s="1490"/>
      <c r="AF831" s="1491"/>
      <c r="AG831" s="1489"/>
      <c r="AH831" s="1490"/>
      <c r="AI831" s="1490"/>
      <c r="AJ831" s="1491"/>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07" t="s">
        <v>124</v>
      </c>
      <c r="D832" s="1408"/>
      <c r="E832" s="1408"/>
      <c r="F832" s="1408"/>
      <c r="G832" s="1408"/>
      <c r="H832" s="1408"/>
      <c r="I832" s="1408"/>
      <c r="J832" s="1408"/>
      <c r="K832" s="1408"/>
      <c r="L832" s="1410"/>
      <c r="M832" s="1644">
        <f>SUM(M825:P831)</f>
        <v>0</v>
      </c>
      <c r="N832" s="1644"/>
      <c r="O832" s="1644"/>
      <c r="P832" s="1644"/>
      <c r="Q832" s="1644">
        <f>SUM(Q825:T831)</f>
        <v>25</v>
      </c>
      <c r="R832" s="1644"/>
      <c r="S832" s="1644"/>
      <c r="T832" s="1644"/>
      <c r="U832" s="1644">
        <f>SUM(U825:X831)</f>
        <v>0</v>
      </c>
      <c r="V832" s="1644"/>
      <c r="W832" s="1644"/>
      <c r="X832" s="1644"/>
      <c r="Y832" s="1644">
        <f>SUM(Y825:AB831)</f>
        <v>0</v>
      </c>
      <c r="Z832" s="1644"/>
      <c r="AA832" s="1644"/>
      <c r="AB832" s="1644"/>
      <c r="AC832" s="1644">
        <f>SUM(AC825:AF831)</f>
        <v>0</v>
      </c>
      <c r="AD832" s="1644"/>
      <c r="AE832" s="1644"/>
      <c r="AF832" s="1644"/>
      <c r="AG832" s="1644">
        <f>SUM(AG825:AJ831)</f>
        <v>0</v>
      </c>
      <c r="AH832" s="1644"/>
      <c r="AI832" s="1644"/>
      <c r="AJ832" s="1644"/>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650" t="s">
        <v>2728</v>
      </c>
      <c r="D837" s="1651"/>
      <c r="E837" s="1651"/>
      <c r="F837" s="1651"/>
      <c r="G837" s="1651"/>
      <c r="H837" s="1651"/>
      <c r="I837" s="1651"/>
      <c r="J837" s="1651"/>
      <c r="K837" s="1651"/>
      <c r="L837" s="1651"/>
      <c r="M837" s="1651"/>
      <c r="N837" s="1651"/>
      <c r="O837" s="1651"/>
      <c r="P837" s="1651"/>
      <c r="Q837" s="1651"/>
      <c r="R837" s="1651"/>
      <c r="S837" s="1651"/>
      <c r="T837" s="1651"/>
      <c r="U837" s="1651"/>
      <c r="V837" s="1651"/>
      <c r="W837" s="1651"/>
      <c r="X837" s="1651"/>
      <c r="Y837" s="1651"/>
      <c r="Z837" s="1651"/>
      <c r="AA837" s="1651"/>
      <c r="AB837" s="1651"/>
      <c r="AC837" s="1651"/>
      <c r="AD837" s="1651"/>
      <c r="AE837" s="1651"/>
      <c r="AF837" s="1651"/>
      <c r="AG837" s="1651"/>
      <c r="AH837" s="1651"/>
      <c r="AI837" s="1651"/>
      <c r="AJ837" s="1652"/>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8"/>
      <c r="BJ841" s="1658"/>
      <c r="BK841" s="1658"/>
      <c r="BL841" s="1658"/>
    </row>
    <row r="842" spans="1:64" s="14" customFormat="1" ht="13.05" customHeight="1">
      <c r="A842"/>
      <c r="B842"/>
      <c r="C842" s="2" t="s">
        <v>342</v>
      </c>
      <c r="D842"/>
      <c r="E842"/>
      <c r="F842"/>
      <c r="G842"/>
      <c r="H842"/>
      <c r="I842"/>
      <c r="J842" s="45" t="s">
        <v>355</v>
      </c>
      <c r="K842" s="5"/>
      <c r="L842" s="5"/>
      <c r="M842" s="5"/>
      <c r="N842" s="5"/>
      <c r="O842" s="5"/>
      <c r="P842" s="5"/>
      <c r="Q842" s="5"/>
      <c r="R842" s="5"/>
      <c r="S842" s="5"/>
      <c r="T842" s="5"/>
      <c r="U842" s="5"/>
      <c r="V842" s="46"/>
      <c r="W842" s="1633"/>
      <c r="X842" s="1633"/>
      <c r="Y842" s="1633"/>
      <c r="Z842" s="1633"/>
      <c r="AA842" s="1633"/>
      <c r="AB842" s="1633"/>
      <c r="AC842" s="1633"/>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354</v>
      </c>
      <c r="K843" s="5"/>
      <c r="L843" s="5"/>
      <c r="M843" s="5"/>
      <c r="N843" s="5"/>
      <c r="O843" s="5"/>
      <c r="P843" s="5"/>
      <c r="Q843" s="5"/>
      <c r="R843" s="5"/>
      <c r="S843" s="5"/>
      <c r="T843" s="5"/>
      <c r="U843" s="5"/>
      <c r="V843" s="46"/>
      <c r="W843" s="1633">
        <v>9200</v>
      </c>
      <c r="X843" s="1633"/>
      <c r="Y843" s="1633"/>
      <c r="Z843" s="1633"/>
      <c r="AA843" s="1633"/>
      <c r="AB843" s="1633"/>
      <c r="AC843" s="1633"/>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353</v>
      </c>
      <c r="K844" s="5"/>
      <c r="L844" s="5"/>
      <c r="M844" s="5"/>
      <c r="N844" s="5"/>
      <c r="O844" s="5"/>
      <c r="P844" s="5"/>
      <c r="Q844" s="5"/>
      <c r="R844" s="5"/>
      <c r="S844" s="5"/>
      <c r="T844" s="5"/>
      <c r="U844" s="5"/>
      <c r="V844" s="46"/>
      <c r="W844" s="1633">
        <v>18884</v>
      </c>
      <c r="X844" s="1633"/>
      <c r="Y844" s="1633"/>
      <c r="Z844" s="1633"/>
      <c r="AA844" s="1633"/>
      <c r="AB844" s="1633"/>
      <c r="AC844" s="1633"/>
      <c r="AZ844" s="30"/>
      <c r="BA844" s="30"/>
      <c r="BB844" s="14"/>
      <c r="BC844" s="14"/>
      <c r="BD844" s="14"/>
      <c r="BE844" s="14"/>
      <c r="BF844" s="14"/>
      <c r="BG844" s="14"/>
      <c r="BH844" s="14"/>
      <c r="BI844" s="14"/>
      <c r="BJ844" s="14"/>
      <c r="BK844" s="14"/>
      <c r="BL844" s="14"/>
    </row>
    <row r="845" spans="1:64" ht="13.05" customHeight="1">
      <c r="J845" s="45" t="s">
        <v>352</v>
      </c>
      <c r="K845" s="5"/>
      <c r="L845" s="5"/>
      <c r="M845" s="5"/>
      <c r="N845" s="5"/>
      <c r="O845" s="5"/>
      <c r="P845" s="5"/>
      <c r="Q845" s="5"/>
      <c r="R845" s="5"/>
      <c r="S845" s="5"/>
      <c r="T845" s="5"/>
      <c r="U845" s="5"/>
      <c r="V845" s="46"/>
      <c r="W845" s="1633">
        <v>51840</v>
      </c>
      <c r="X845" s="1633"/>
      <c r="Y845" s="1633"/>
      <c r="Z845" s="1633"/>
      <c r="AA845" s="1633"/>
      <c r="AB845" s="1633"/>
      <c r="AC845" s="1633"/>
      <c r="AZ845" s="30"/>
      <c r="BA845" s="30"/>
      <c r="BB845" s="14"/>
      <c r="BC845" s="14"/>
      <c r="BD845" s="14"/>
      <c r="BE845" s="14"/>
      <c r="BF845" s="14"/>
      <c r="BG845" s="14"/>
      <c r="BH845" s="14"/>
      <c r="BI845" s="14"/>
      <c r="BJ845" s="14"/>
      <c r="BK845" s="14"/>
      <c r="BL845" s="14"/>
    </row>
    <row r="846" spans="1:64" ht="13.05" customHeight="1">
      <c r="J846" s="45" t="s">
        <v>169</v>
      </c>
      <c r="K846" s="5"/>
      <c r="L846" s="5"/>
      <c r="M846" s="1637" t="s">
        <v>2725</v>
      </c>
      <c r="N846" s="1638"/>
      <c r="O846" s="1638"/>
      <c r="P846" s="1638"/>
      <c r="Q846" s="1638"/>
      <c r="R846" s="1638"/>
      <c r="S846" s="1638"/>
      <c r="T846" s="1638"/>
      <c r="U846" s="1638"/>
      <c r="V846" s="1639"/>
      <c r="W846" s="1633">
        <v>93100</v>
      </c>
      <c r="X846" s="1633"/>
      <c r="Y846" s="1633"/>
      <c r="Z846" s="1633"/>
      <c r="AA846" s="1633"/>
      <c r="AB846" s="1633"/>
      <c r="AC846" s="1633"/>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341</v>
      </c>
      <c r="W847" s="1471">
        <f>SUM(W842:AC846)</f>
        <v>173024</v>
      </c>
      <c r="X847" s="1472"/>
      <c r="Y847" s="1472"/>
      <c r="Z847" s="1472"/>
      <c r="AA847" s="1472"/>
      <c r="AB847" s="1472"/>
      <c r="AC847" s="1473"/>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29"/>
      <c r="BH848" s="1629"/>
      <c r="BI848" s="1629"/>
      <c r="BJ848" s="1629"/>
      <c r="BK848" s="1629"/>
      <c r="BL848" s="1629"/>
    </row>
    <row r="849" spans="3:55" ht="13.05" customHeight="1">
      <c r="C849" s="2" t="s">
        <v>343</v>
      </c>
      <c r="J849" s="1407" t="s">
        <v>344</v>
      </c>
      <c r="K849" s="1408"/>
      <c r="L849" s="1408"/>
      <c r="M849" s="1408"/>
      <c r="N849" s="1408"/>
      <c r="O849" s="1408"/>
      <c r="P849" s="1408"/>
      <c r="Q849" s="1408"/>
      <c r="R849" s="1408"/>
      <c r="S849" s="1408"/>
      <c r="T849" s="1408"/>
      <c r="U849" s="1408"/>
      <c r="V849" s="1410"/>
      <c r="W849" s="1474">
        <v>62208</v>
      </c>
      <c r="X849" s="1337"/>
      <c r="Y849" s="1337"/>
      <c r="Z849" s="1337"/>
      <c r="AA849" s="1337"/>
      <c r="AB849" s="1337"/>
      <c r="AC849" s="1338"/>
      <c r="AD849" s="534"/>
      <c r="AZ849" s="30"/>
      <c r="BA849" s="30"/>
      <c r="BB849" s="14"/>
      <c r="BC849" s="14"/>
    </row>
    <row r="850" spans="3:55" ht="13.05" customHeight="1">
      <c r="AD850" s="534"/>
      <c r="AZ850" s="30"/>
      <c r="BA850" s="30"/>
      <c r="BB850" s="14"/>
      <c r="BC850" s="14"/>
    </row>
    <row r="851" spans="3:55" ht="13.05" customHeight="1">
      <c r="C851" s="2" t="s">
        <v>561</v>
      </c>
      <c r="J851" s="45" t="s">
        <v>351</v>
      </c>
      <c r="K851" s="5"/>
      <c r="L851" s="5"/>
      <c r="M851" s="5"/>
      <c r="N851" s="5"/>
      <c r="O851" s="5"/>
      <c r="P851" s="5"/>
      <c r="Q851" s="5"/>
      <c r="R851" s="5"/>
      <c r="S851" s="5"/>
      <c r="T851" s="5"/>
      <c r="U851" s="5"/>
      <c r="V851" s="46"/>
      <c r="W851" s="1648"/>
      <c r="X851" s="1648"/>
      <c r="Y851" s="1648"/>
      <c r="Z851" s="1648"/>
      <c r="AA851" s="1648"/>
      <c r="AB851" s="1648"/>
      <c r="AC851" s="1648"/>
      <c r="AZ851" s="1615"/>
      <c r="BA851" s="1615"/>
      <c r="BB851" s="14"/>
      <c r="BC851" s="14"/>
    </row>
    <row r="852" spans="3:55" ht="13.05" customHeight="1">
      <c r="J852" s="45" t="s">
        <v>350</v>
      </c>
      <c r="K852" s="5"/>
      <c r="L852" s="5"/>
      <c r="M852" s="5"/>
      <c r="N852" s="5"/>
      <c r="O852" s="5"/>
      <c r="P852" s="5"/>
      <c r="Q852" s="5"/>
      <c r="R852" s="5"/>
      <c r="S852" s="5"/>
      <c r="T852" s="5"/>
      <c r="U852" s="5"/>
      <c r="V852" s="46"/>
      <c r="W852" s="1648">
        <v>8082</v>
      </c>
      <c r="X852" s="1648"/>
      <c r="Y852" s="1648"/>
      <c r="Z852" s="1648"/>
      <c r="AA852" s="1648"/>
      <c r="AB852" s="1648"/>
      <c r="AC852" s="1648"/>
      <c r="AZ852" s="30"/>
      <c r="BA852" s="30"/>
      <c r="BB852" s="14"/>
      <c r="BC852" s="14"/>
    </row>
    <row r="853" spans="3:55" ht="13.05" customHeight="1">
      <c r="J853" s="45" t="s">
        <v>459</v>
      </c>
      <c r="K853" s="5"/>
      <c r="L853" s="5"/>
      <c r="M853" s="5"/>
      <c r="N853" s="5"/>
      <c r="O853" s="5"/>
      <c r="P853" s="5"/>
      <c r="Q853" s="5"/>
      <c r="R853" s="5"/>
      <c r="S853" s="5"/>
      <c r="T853" s="5"/>
      <c r="U853" s="5"/>
      <c r="V853" s="46"/>
      <c r="W853" s="1648">
        <v>30708</v>
      </c>
      <c r="X853" s="1648"/>
      <c r="Y853" s="1648"/>
      <c r="Z853" s="1648"/>
      <c r="AA853" s="1648"/>
      <c r="AB853" s="1648"/>
      <c r="AC853" s="1648"/>
      <c r="AZ853" s="30"/>
      <c r="BA853" s="30"/>
      <c r="BB853" s="14"/>
      <c r="BC853" s="14"/>
    </row>
    <row r="854" spans="3:55" ht="13.05" customHeight="1">
      <c r="J854" s="62" t="s">
        <v>620</v>
      </c>
      <c r="K854" s="5"/>
      <c r="L854" s="5"/>
      <c r="M854" s="5"/>
      <c r="N854" s="5"/>
      <c r="O854" s="5"/>
      <c r="P854" s="5"/>
      <c r="Q854" s="5"/>
      <c r="R854" s="5"/>
      <c r="S854" s="5"/>
      <c r="T854" s="5"/>
      <c r="U854" s="5"/>
      <c r="V854" s="46"/>
      <c r="W854" s="1648">
        <v>59576</v>
      </c>
      <c r="X854" s="1648"/>
      <c r="Y854" s="1648"/>
      <c r="Z854" s="1648"/>
      <c r="AA854" s="1648"/>
      <c r="AB854" s="1648"/>
      <c r="AC854" s="1648"/>
      <c r="AZ854" s="34"/>
      <c r="BA854" s="34"/>
      <c r="BB854" s="34"/>
      <c r="BC854" s="34"/>
    </row>
    <row r="855" spans="3:55" ht="13.05" customHeight="1">
      <c r="J855" s="63"/>
      <c r="K855" s="48"/>
      <c r="L855" s="48"/>
      <c r="M855" s="48"/>
      <c r="N855" s="48"/>
      <c r="O855" s="48"/>
      <c r="P855" s="48"/>
      <c r="Q855" s="48"/>
      <c r="R855" s="48"/>
      <c r="S855" s="48"/>
      <c r="T855" s="48"/>
      <c r="U855" s="48"/>
      <c r="V855" s="54" t="s">
        <v>271</v>
      </c>
      <c r="W855" s="1649">
        <f>SUM(W851:AC854)</f>
        <v>98366</v>
      </c>
      <c r="X855" s="1649"/>
      <c r="Y855" s="1649"/>
      <c r="Z855" s="1649"/>
      <c r="AA855" s="1649"/>
      <c r="AB855" s="1649"/>
      <c r="AC855" s="1649"/>
      <c r="AZ855" s="34"/>
      <c r="BA855" s="34"/>
      <c r="BB855" s="34"/>
      <c r="BC855" s="34"/>
    </row>
    <row r="856" spans="3:55" ht="13.05" customHeight="1">
      <c r="AZ856" s="34"/>
      <c r="BA856" s="34"/>
      <c r="BB856" s="34"/>
      <c r="BC856" s="34"/>
    </row>
    <row r="857" spans="3:55" ht="13.05" customHeight="1">
      <c r="C857" s="2" t="s">
        <v>345</v>
      </c>
      <c r="J857" s="45" t="s">
        <v>619</v>
      </c>
      <c r="K857" s="5"/>
      <c r="L857" s="5"/>
      <c r="M857" s="5"/>
      <c r="N857" s="5"/>
      <c r="O857" s="5"/>
      <c r="P857" s="5"/>
      <c r="Q857" s="5"/>
      <c r="R857" s="5"/>
      <c r="S857" s="5"/>
      <c r="T857" s="5"/>
      <c r="U857" s="5"/>
      <c r="V857" s="46"/>
      <c r="W857" s="1645">
        <v>120579</v>
      </c>
      <c r="X857" s="1646"/>
      <c r="Y857" s="1646"/>
      <c r="Z857" s="1646"/>
      <c r="AA857" s="1646"/>
      <c r="AB857" s="1646"/>
      <c r="AC857" s="1647"/>
      <c r="AD857" s="529"/>
      <c r="AZ857" s="34"/>
      <c r="BA857" s="34"/>
      <c r="BB857" s="34"/>
      <c r="BC857" s="34"/>
    </row>
    <row r="858" spans="3:55" ht="13.05" customHeight="1">
      <c r="C858" s="2" t="s">
        <v>346</v>
      </c>
      <c r="J858" s="121" t="s">
        <v>1655</v>
      </c>
      <c r="K858" s="5"/>
      <c r="L858" s="5"/>
      <c r="M858" s="5"/>
      <c r="N858" s="5"/>
      <c r="O858" s="5"/>
      <c r="P858" s="5"/>
      <c r="Q858" s="5"/>
      <c r="R858" s="5"/>
      <c r="S858" s="5"/>
      <c r="T858" s="1631">
        <v>2</v>
      </c>
      <c r="U858" s="1593"/>
      <c r="V858" s="1632"/>
      <c r="W858" s="875"/>
      <c r="X858" s="876"/>
      <c r="Y858" s="876"/>
      <c r="Z858" s="876"/>
      <c r="AA858" s="876"/>
      <c r="AB858" s="876"/>
      <c r="AC858" s="877"/>
      <c r="AD858" s="529"/>
      <c r="AZ858" s="34"/>
      <c r="BA858" s="34"/>
      <c r="BB858" s="34"/>
      <c r="BC858" s="34"/>
    </row>
    <row r="859" spans="3:55" ht="13.05" customHeight="1">
      <c r="C859" s="2"/>
      <c r="J859" s="45" t="s">
        <v>618</v>
      </c>
      <c r="K859" s="5"/>
      <c r="L859" s="5"/>
      <c r="M859" s="5"/>
      <c r="N859" s="5"/>
      <c r="O859" s="5"/>
      <c r="P859" s="5"/>
      <c r="Q859" s="5"/>
      <c r="R859" s="5"/>
      <c r="S859" s="5"/>
      <c r="T859" s="5"/>
      <c r="U859" s="5"/>
      <c r="V859" s="46"/>
      <c r="W859" s="1645">
        <v>105791</v>
      </c>
      <c r="X859" s="1646"/>
      <c r="Y859" s="1646"/>
      <c r="Z859" s="1646"/>
      <c r="AA859" s="1646"/>
      <c r="AB859" s="1646"/>
      <c r="AC859" s="1647"/>
      <c r="AD859" s="534"/>
      <c r="AZ859" s="34"/>
      <c r="BA859" s="34"/>
      <c r="BB859" s="34"/>
      <c r="BC859" s="34"/>
    </row>
    <row r="860" spans="3:55" ht="13.05" customHeight="1">
      <c r="C860" s="2"/>
      <c r="J860" s="121" t="s">
        <v>1656</v>
      </c>
      <c r="K860" s="5"/>
      <c r="L860" s="5"/>
      <c r="M860" s="5"/>
      <c r="N860" s="5"/>
      <c r="O860" s="5"/>
      <c r="P860" s="5"/>
      <c r="Q860" s="5"/>
      <c r="R860" s="5"/>
      <c r="S860" s="5"/>
      <c r="T860" s="1631"/>
      <c r="U860" s="1593"/>
      <c r="V860" s="1632"/>
      <c r="W860" s="875"/>
      <c r="X860" s="876"/>
      <c r="Y860" s="876"/>
      <c r="Z860" s="876"/>
      <c r="AA860" s="876"/>
      <c r="AB860" s="876"/>
      <c r="AC860" s="877"/>
      <c r="AD860" s="534"/>
      <c r="AZ860" s="34"/>
      <c r="BA860" s="34"/>
      <c r="BB860" s="34"/>
      <c r="BC860" s="34"/>
    </row>
    <row r="861" spans="3:55" ht="13.05" customHeight="1">
      <c r="J861" s="45" t="s">
        <v>169</v>
      </c>
      <c r="K861" s="5"/>
      <c r="L861" s="5"/>
      <c r="M861" s="1637" t="s">
        <v>346</v>
      </c>
      <c r="N861" s="1638"/>
      <c r="O861" s="1638"/>
      <c r="P861" s="1638"/>
      <c r="Q861" s="1638"/>
      <c r="R861" s="1638"/>
      <c r="S861" s="1638"/>
      <c r="T861" s="1638"/>
      <c r="U861" s="1638"/>
      <c r="V861" s="1639"/>
      <c r="W861" s="1645">
        <v>71308</v>
      </c>
      <c r="X861" s="1646"/>
      <c r="Y861" s="1646"/>
      <c r="Z861" s="1646"/>
      <c r="AA861" s="1646"/>
      <c r="AB861" s="1646"/>
      <c r="AC861" s="1647"/>
      <c r="AD861" s="529"/>
      <c r="AU861" s="14"/>
      <c r="AZ861" s="34"/>
      <c r="BA861" s="34"/>
      <c r="BB861" s="34"/>
      <c r="BC861" s="34"/>
    </row>
    <row r="862" spans="3:55" ht="13.05" customHeight="1">
      <c r="J862" s="45"/>
      <c r="K862" s="5"/>
      <c r="L862" s="5"/>
      <c r="M862" s="5"/>
      <c r="N862" s="5"/>
      <c r="O862" s="5"/>
      <c r="P862" s="5"/>
      <c r="Q862" s="5"/>
      <c r="R862" s="5"/>
      <c r="S862" s="5"/>
      <c r="T862" s="5"/>
      <c r="U862" s="5"/>
      <c r="V862" s="54" t="s">
        <v>272</v>
      </c>
      <c r="W862" s="1634">
        <f>SUM(W857:AC861)</f>
        <v>297678</v>
      </c>
      <c r="X862" s="1635"/>
      <c r="Y862" s="1635"/>
      <c r="Z862" s="1635"/>
      <c r="AA862" s="1635"/>
      <c r="AB862" s="1635"/>
      <c r="AC862" s="1636"/>
      <c r="AD862" s="534"/>
      <c r="AU862" s="14"/>
      <c r="AZ862" s="34"/>
      <c r="BA862" s="34"/>
      <c r="BB862" s="34"/>
      <c r="BC862" s="34"/>
    </row>
    <row r="863" spans="3:55" ht="13.05" customHeight="1">
      <c r="J863" s="45"/>
      <c r="K863" s="5"/>
      <c r="L863" s="5"/>
      <c r="M863" s="5"/>
      <c r="N863" s="5"/>
      <c r="O863" s="5"/>
      <c r="P863" s="5"/>
      <c r="Q863" s="5"/>
      <c r="R863" s="5"/>
      <c r="S863" s="5"/>
      <c r="T863" s="5"/>
      <c r="U863" s="5"/>
      <c r="V863" s="54" t="s">
        <v>273</v>
      </c>
      <c r="W863" s="1645">
        <v>42391</v>
      </c>
      <c r="X863" s="1646"/>
      <c r="Y863" s="1646"/>
      <c r="Z863" s="1646"/>
      <c r="AA863" s="1646"/>
      <c r="AB863" s="1646"/>
      <c r="AC863" s="1647"/>
      <c r="AU863" s="14"/>
      <c r="AZ863" s="34"/>
      <c r="BA863" s="34"/>
      <c r="BB863" s="34"/>
      <c r="BC863" s="34"/>
    </row>
    <row r="864" spans="3:55" ht="13.05" customHeight="1">
      <c r="J864" s="513"/>
      <c r="AU864" s="14"/>
      <c r="AZ864" s="34"/>
      <c r="BA864" s="34"/>
      <c r="BB864" s="34"/>
      <c r="BC864" s="34"/>
    </row>
    <row r="865" spans="3:55" ht="13.05" customHeight="1">
      <c r="C865" s="2" t="s">
        <v>389</v>
      </c>
      <c r="J865" s="45" t="s">
        <v>617</v>
      </c>
      <c r="K865" s="5"/>
      <c r="L865" s="5"/>
      <c r="M865" s="5"/>
      <c r="N865" s="5"/>
      <c r="O865" s="5"/>
      <c r="P865" s="5"/>
      <c r="Q865" s="5"/>
      <c r="R865" s="5"/>
      <c r="S865" s="5"/>
      <c r="T865" s="5"/>
      <c r="U865" s="5"/>
      <c r="V865" s="46"/>
      <c r="W865" s="1633"/>
      <c r="X865" s="1633"/>
      <c r="Y865" s="1633"/>
      <c r="Z865" s="1633"/>
      <c r="AA865" s="1633"/>
      <c r="AB865" s="1633"/>
      <c r="AC865" s="1633"/>
      <c r="AU865" s="14"/>
      <c r="AZ865" s="34"/>
      <c r="BA865" s="34"/>
      <c r="BB865" s="34"/>
      <c r="BC865" s="34"/>
    </row>
    <row r="866" spans="3:55" ht="13.05" customHeight="1">
      <c r="J866" s="45" t="s">
        <v>522</v>
      </c>
      <c r="K866" s="5"/>
      <c r="L866" s="5"/>
      <c r="M866" s="5"/>
      <c r="N866" s="5"/>
      <c r="O866" s="5"/>
      <c r="P866" s="5"/>
      <c r="Q866" s="5"/>
      <c r="R866" s="5"/>
      <c r="S866" s="5"/>
      <c r="T866" s="5"/>
      <c r="U866" s="5"/>
      <c r="V866" s="46"/>
      <c r="W866" s="1633"/>
      <c r="X866" s="1633"/>
      <c r="Y866" s="1633"/>
      <c r="Z866" s="1633"/>
      <c r="AA866" s="1633"/>
      <c r="AB866" s="1633"/>
      <c r="AC866" s="1633"/>
      <c r="AU866" s="4"/>
      <c r="AZ866" s="34"/>
      <c r="BA866" s="34"/>
      <c r="BB866" s="34"/>
      <c r="BC866" s="34"/>
    </row>
    <row r="867" spans="3:55" ht="13.05" customHeight="1">
      <c r="J867" s="45" t="s">
        <v>521</v>
      </c>
      <c r="K867" s="5"/>
      <c r="L867" s="5"/>
      <c r="M867" s="5"/>
      <c r="N867" s="5"/>
      <c r="O867" s="5"/>
      <c r="P867" s="5"/>
      <c r="Q867" s="5"/>
      <c r="R867" s="5"/>
      <c r="S867" s="5"/>
      <c r="T867" s="5"/>
      <c r="U867" s="5"/>
      <c r="V867" s="46"/>
      <c r="W867" s="1633">
        <v>18210</v>
      </c>
      <c r="X867" s="1633"/>
      <c r="Y867" s="1633"/>
      <c r="Z867" s="1633"/>
      <c r="AA867" s="1633"/>
      <c r="AB867" s="1633"/>
      <c r="AC867" s="1633"/>
      <c r="AU867" s="4"/>
      <c r="AZ867" s="34"/>
      <c r="BA867" s="34"/>
      <c r="BB867" s="34"/>
      <c r="BC867" s="34"/>
    </row>
    <row r="868" spans="3:55" ht="13.05" customHeight="1">
      <c r="J868" s="45" t="s">
        <v>520</v>
      </c>
      <c r="K868" s="5"/>
      <c r="L868" s="5"/>
      <c r="M868" s="5"/>
      <c r="N868" s="5"/>
      <c r="O868" s="5"/>
      <c r="P868" s="5"/>
      <c r="Q868" s="5"/>
      <c r="R868" s="5"/>
      <c r="S868" s="5"/>
      <c r="T868" s="5"/>
      <c r="U868" s="5"/>
      <c r="V868" s="46"/>
      <c r="W868" s="1633"/>
      <c r="X868" s="1633"/>
      <c r="Y868" s="1633"/>
      <c r="Z868" s="1633"/>
      <c r="AA868" s="1633"/>
      <c r="AB868" s="1633"/>
      <c r="AC868" s="1633"/>
      <c r="AU868" s="4"/>
      <c r="AZ868" s="34"/>
      <c r="BA868" s="34"/>
      <c r="BB868" s="34"/>
      <c r="BC868" s="34"/>
    </row>
    <row r="869" spans="3:55" ht="13.05" customHeight="1">
      <c r="J869" s="45" t="s">
        <v>519</v>
      </c>
      <c r="K869" s="5"/>
      <c r="L869" s="5"/>
      <c r="M869" s="5"/>
      <c r="N869" s="5"/>
      <c r="O869" s="5"/>
      <c r="P869" s="5"/>
      <c r="Q869" s="5"/>
      <c r="R869" s="5"/>
      <c r="S869" s="5"/>
      <c r="T869" s="5"/>
      <c r="U869" s="5"/>
      <c r="V869" s="46"/>
      <c r="W869" s="1633"/>
      <c r="X869" s="1633"/>
      <c r="Y869" s="1633"/>
      <c r="Z869" s="1633"/>
      <c r="AA869" s="1633"/>
      <c r="AB869" s="1633"/>
      <c r="AC869" s="1633"/>
      <c r="AU869" s="4"/>
      <c r="AZ869" s="34"/>
      <c r="BA869" s="34"/>
      <c r="BB869" s="34"/>
      <c r="BC869" s="34"/>
    </row>
    <row r="870" spans="3:55" ht="13.05" customHeight="1">
      <c r="J870" s="45" t="s">
        <v>518</v>
      </c>
      <c r="K870" s="5"/>
      <c r="L870" s="5"/>
      <c r="M870" s="5"/>
      <c r="N870" s="5"/>
      <c r="O870" s="5"/>
      <c r="P870" s="5"/>
      <c r="Q870" s="5"/>
      <c r="R870" s="5"/>
      <c r="S870" s="5"/>
      <c r="T870" s="5"/>
      <c r="U870" s="5"/>
      <c r="V870" s="46"/>
      <c r="W870" s="1633"/>
      <c r="X870" s="1633"/>
      <c r="Y870" s="1633"/>
      <c r="Z870" s="1633"/>
      <c r="AA870" s="1633"/>
      <c r="AB870" s="1633"/>
      <c r="AC870" s="1633"/>
      <c r="AU870" s="4"/>
      <c r="AZ870" s="34"/>
      <c r="BA870" s="34"/>
      <c r="BB870" s="34"/>
      <c r="BC870" s="34"/>
    </row>
    <row r="871" spans="3:55" ht="13.05" customHeight="1">
      <c r="J871" s="45" t="s">
        <v>169</v>
      </c>
      <c r="K871" s="5"/>
      <c r="L871" s="5"/>
      <c r="M871" s="1637" t="s">
        <v>2726</v>
      </c>
      <c r="N871" s="1638"/>
      <c r="O871" s="1638"/>
      <c r="P871" s="1638"/>
      <c r="Q871" s="1638"/>
      <c r="R871" s="1638"/>
      <c r="S871" s="1638"/>
      <c r="T871" s="1638"/>
      <c r="U871" s="1638"/>
      <c r="V871" s="1639"/>
      <c r="W871" s="1633">
        <v>119366</v>
      </c>
      <c r="X871" s="1633"/>
      <c r="Y871" s="1633"/>
      <c r="Z871" s="1633"/>
      <c r="AA871" s="1633"/>
      <c r="AB871" s="1633"/>
      <c r="AC871" s="1633"/>
      <c r="AD871" s="534"/>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274</v>
      </c>
      <c r="W872" s="1595">
        <f>SUM(W865:AC871)</f>
        <v>137576</v>
      </c>
      <c r="X872" s="1595"/>
      <c r="Y872" s="1595"/>
      <c r="Z872" s="1595"/>
      <c r="AA872" s="1595"/>
      <c r="AB872" s="1595"/>
      <c r="AC872" s="1595"/>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169</v>
      </c>
      <c r="K874" s="5"/>
      <c r="L874" s="5"/>
      <c r="M874" s="1637" t="s">
        <v>333</v>
      </c>
      <c r="N874" s="1638"/>
      <c r="O874" s="1638"/>
      <c r="P874" s="1638"/>
      <c r="Q874" s="1638"/>
      <c r="R874" s="1638"/>
      <c r="S874" s="1638"/>
      <c r="T874" s="1638"/>
      <c r="U874" s="1638"/>
      <c r="V874" s="1639"/>
      <c r="W874" s="1474"/>
      <c r="X874" s="1337"/>
      <c r="Y874" s="1337"/>
      <c r="Z874" s="1337"/>
      <c r="AA874" s="1337"/>
      <c r="AB874" s="1337"/>
      <c r="AC874" s="1338"/>
      <c r="AD874" s="534"/>
      <c r="AV874" s="14"/>
      <c r="AW874" s="14"/>
      <c r="AX874" s="14"/>
      <c r="AY874" s="14"/>
      <c r="AZ874" s="34"/>
      <c r="BA874" s="34"/>
      <c r="BB874" s="34"/>
      <c r="BC874" s="34"/>
    </row>
    <row r="875" spans="3:55" ht="13.05" customHeight="1">
      <c r="C875" s="2" t="s">
        <v>1244</v>
      </c>
      <c r="J875" s="45" t="s">
        <v>169</v>
      </c>
      <c r="K875" s="5"/>
      <c r="L875" s="5"/>
      <c r="M875" s="1637" t="s">
        <v>333</v>
      </c>
      <c r="N875" s="1638"/>
      <c r="O875" s="1638"/>
      <c r="P875" s="1638"/>
      <c r="Q875" s="1638"/>
      <c r="R875" s="1638"/>
      <c r="S875" s="1638"/>
      <c r="T875" s="1638"/>
      <c r="U875" s="1638"/>
      <c r="V875" s="1639"/>
      <c r="W875" s="1474"/>
      <c r="X875" s="1337"/>
      <c r="Y875" s="1337"/>
      <c r="Z875" s="1337"/>
      <c r="AA875" s="1337"/>
      <c r="AB875" s="1337"/>
      <c r="AC875" s="1338"/>
      <c r="AD875" s="534"/>
      <c r="AV875" s="14"/>
      <c r="AW875" s="14"/>
      <c r="AX875" s="14"/>
      <c r="AY875" s="14"/>
      <c r="AZ875" s="34"/>
      <c r="BA875" s="34"/>
      <c r="BB875" s="34"/>
      <c r="BC875" s="34"/>
    </row>
    <row r="876" spans="3:55" ht="13.05" customHeight="1">
      <c r="J876" s="45" t="s">
        <v>169</v>
      </c>
      <c r="K876" s="5"/>
      <c r="L876" s="5"/>
      <c r="M876" s="1637" t="s">
        <v>333</v>
      </c>
      <c r="N876" s="1638"/>
      <c r="O876" s="1638"/>
      <c r="P876" s="1638"/>
      <c r="Q876" s="1638"/>
      <c r="R876" s="1638"/>
      <c r="S876" s="1638"/>
      <c r="T876" s="1638"/>
      <c r="U876" s="1638"/>
      <c r="V876" s="1639"/>
      <c r="W876" s="1474"/>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3.05" customHeight="1">
      <c r="J877" s="45" t="s">
        <v>169</v>
      </c>
      <c r="K877" s="5"/>
      <c r="L877" s="5"/>
      <c r="M877" s="1637" t="s">
        <v>333</v>
      </c>
      <c r="N877" s="1638"/>
      <c r="O877" s="1638"/>
      <c r="P877" s="1638"/>
      <c r="Q877" s="1638"/>
      <c r="R877" s="1638"/>
      <c r="S877" s="1638"/>
      <c r="T877" s="1638"/>
      <c r="U877" s="1638"/>
      <c r="V877" s="1639"/>
      <c r="W877" s="1474"/>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3.05" customHeight="1">
      <c r="J878" s="45" t="s">
        <v>169</v>
      </c>
      <c r="K878" s="5"/>
      <c r="L878" s="5"/>
      <c r="M878" s="1637" t="s">
        <v>333</v>
      </c>
      <c r="N878" s="1638"/>
      <c r="O878" s="1638"/>
      <c r="P878" s="1638"/>
      <c r="Q878" s="1638"/>
      <c r="R878" s="1638"/>
      <c r="S878" s="1638"/>
      <c r="T878" s="1638"/>
      <c r="U878" s="1638"/>
      <c r="V878" s="1639"/>
      <c r="W878" s="1474"/>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275</v>
      </c>
      <c r="W879" s="1471">
        <f>SUM(W874:AC878)</f>
        <v>0</v>
      </c>
      <c r="X879" s="1472"/>
      <c r="Y879" s="1472"/>
      <c r="Z879" s="1472"/>
      <c r="AA879" s="1472"/>
      <c r="AB879" s="1472"/>
      <c r="AC879" s="1473"/>
      <c r="AL879" s="14"/>
      <c r="AM879" s="14"/>
      <c r="AN879" s="14"/>
      <c r="AO879" s="14"/>
      <c r="AP879" s="14"/>
      <c r="AQ879" s="14"/>
      <c r="AR879" s="14"/>
      <c r="AS879" s="14"/>
      <c r="AT879" s="14"/>
      <c r="AV879" s="4"/>
      <c r="AW879" s="4"/>
      <c r="AX879" s="4"/>
      <c r="AY879" s="4"/>
      <c r="AZ879" s="34"/>
      <c r="BA879" s="34"/>
      <c r="BB879" s="34"/>
      <c r="BC879" s="34"/>
    </row>
    <row r="880" spans="3:55" ht="13.0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472">
        <f>W847+W855+W862+W863+W872+W879+W849</f>
        <v>811243</v>
      </c>
      <c r="AD883" s="1472"/>
      <c r="AE883" s="1472"/>
      <c r="AF883" s="1472"/>
      <c r="AG883" s="1472"/>
      <c r="AH883" s="1473"/>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40">
        <f>O797+O777+G753</f>
        <v>64</v>
      </c>
      <c r="AD884" s="1640"/>
      <c r="AE884" s="1640"/>
      <c r="AF884" s="1640"/>
      <c r="AG884" s="1640"/>
      <c r="AH884" s="1641"/>
      <c r="AL884" s="4"/>
      <c r="AM884" s="4"/>
      <c r="AN884" s="4"/>
      <c r="AO884" s="4"/>
      <c r="AP884" s="4"/>
      <c r="AQ884" s="4"/>
      <c r="AR884" s="4"/>
      <c r="AS884" s="4"/>
      <c r="AT884" s="4"/>
      <c r="AZ884" s="34"/>
      <c r="BA884" s="34"/>
      <c r="BB884" s="34"/>
      <c r="BC884" s="34"/>
    </row>
    <row r="885" spans="3:55" ht="13.05" customHeight="1">
      <c r="C885" s="41"/>
      <c r="D885" s="42"/>
      <c r="E885" s="1704" t="s">
        <v>32</v>
      </c>
      <c r="F885" s="1704"/>
      <c r="G885" s="1704"/>
      <c r="H885" s="1704"/>
      <c r="I885" s="1704"/>
      <c r="J885" s="1704"/>
      <c r="K885" s="1704"/>
      <c r="L885" s="1704"/>
      <c r="M885" s="1704"/>
      <c r="N885" s="1704"/>
      <c r="O885" s="1704"/>
      <c r="P885" s="1704"/>
      <c r="Q885" s="1704"/>
      <c r="R885" s="1704"/>
      <c r="S885" s="1704"/>
      <c r="T885" s="1704"/>
      <c r="U885" s="1704"/>
      <c r="V885" s="1704"/>
      <c r="W885" s="1704"/>
      <c r="X885" s="1704"/>
      <c r="Y885" s="1704"/>
      <c r="Z885" s="1704"/>
      <c r="AA885" s="1704"/>
      <c r="AB885" s="1705"/>
      <c r="AC885" s="1595">
        <f>IF(ISERROR((ROUNDDOWN(AC883/AC884,0))),0,(ROUNDDOWN(AC883/AC884,0)))</f>
        <v>12675</v>
      </c>
      <c r="AD885" s="1595"/>
      <c r="AE885" s="1595"/>
      <c r="AF885" s="1595"/>
      <c r="AG885" s="1595"/>
      <c r="AH885" s="1595"/>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2">
        <v>335855.25</v>
      </c>
      <c r="AD886" s="1643"/>
      <c r="AE886" s="1643"/>
      <c r="AF886" s="1643"/>
      <c r="AG886" s="1643"/>
      <c r="AH886" s="1643"/>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8"/>
      <c r="AD887" s="1633"/>
      <c r="AE887" s="1633"/>
      <c r="AF887" s="1633"/>
      <c r="AG887" s="1633"/>
      <c r="AH887" s="1633"/>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7">
        <v>103338</v>
      </c>
      <c r="AD888" s="1337"/>
      <c r="AE888" s="1337"/>
      <c r="AF888" s="1337"/>
      <c r="AG888" s="1337"/>
      <c r="AH888" s="1338"/>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22400</v>
      </c>
      <c r="AD889" s="1337"/>
      <c r="AE889" s="1337"/>
      <c r="AF889" s="1337"/>
      <c r="AG889" s="1337"/>
      <c r="AH889" s="1338"/>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89"/>
      <c r="AD890" s="1490"/>
      <c r="AE890" s="1490"/>
      <c r="AF890" s="1490"/>
      <c r="AG890" s="1490"/>
      <c r="AH890" s="1491"/>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v>4460</v>
      </c>
      <c r="AD891" s="1337"/>
      <c r="AE891" s="1337"/>
      <c r="AF891" s="1337"/>
      <c r="AG891" s="1337"/>
      <c r="AH891" s="1338"/>
      <c r="AZ891" s="34"/>
      <c r="BA891" s="34"/>
      <c r="BB891" s="34"/>
      <c r="BC891" s="34"/>
    </row>
    <row r="892" spans="3:55" ht="13.05" hidden="1" customHeight="1">
      <c r="C892" s="1407" t="s">
        <v>2236</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7"/>
      <c r="AD892" s="1337"/>
      <c r="AE892" s="1337"/>
      <c r="AF892" s="1337"/>
      <c r="AG892" s="1337"/>
      <c r="AH892" s="1338"/>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7"/>
      <c r="AD893" s="1337"/>
      <c r="AE893" s="1337"/>
      <c r="AF893" s="1337"/>
      <c r="AG893" s="1337"/>
      <c r="AH893" s="1338"/>
      <c r="AZ893" s="34"/>
      <c r="BA893" s="34"/>
      <c r="BB893" s="34"/>
      <c r="BC893" s="34"/>
    </row>
    <row r="894" spans="3:55" ht="13.05" customHeight="1">
      <c r="C894" s="1661" t="s">
        <v>2736</v>
      </c>
      <c r="D894" s="1662"/>
      <c r="E894" s="1662"/>
      <c r="F894" s="1662"/>
      <c r="G894" s="1662"/>
      <c r="H894" s="1662"/>
      <c r="I894" s="1662"/>
      <c r="J894" s="1662"/>
      <c r="K894" s="1662"/>
      <c r="L894" s="1662"/>
      <c r="M894" s="1662"/>
      <c r="N894" s="1662"/>
      <c r="O894" s="1662"/>
      <c r="P894" s="1662"/>
      <c r="Q894" s="1662"/>
      <c r="R894" s="1662"/>
      <c r="S894" s="1662"/>
      <c r="T894" s="1662"/>
      <c r="U894" s="1662"/>
      <c r="V894" s="1662"/>
      <c r="W894" s="1662"/>
      <c r="X894" s="1662"/>
      <c r="Y894" s="1662"/>
      <c r="Z894" s="1662"/>
      <c r="AA894" s="1662"/>
      <c r="AB894" s="1663"/>
      <c r="AC894" s="1633">
        <v>12265</v>
      </c>
      <c r="AD894" s="1633"/>
      <c r="AE894" s="1633"/>
      <c r="AF894" s="1633"/>
      <c r="AG894" s="1633"/>
      <c r="AH894" s="1633"/>
      <c r="AZ894" s="34"/>
      <c r="BA894" s="34"/>
      <c r="BB894" s="34"/>
      <c r="BC894" s="34"/>
    </row>
    <row r="895" spans="3:55" ht="13.05" customHeight="1">
      <c r="C895" s="1661" t="s">
        <v>956</v>
      </c>
      <c r="D895" s="1662"/>
      <c r="E895" s="1662"/>
      <c r="F895" s="1662"/>
      <c r="G895" s="1662"/>
      <c r="H895" s="1662"/>
      <c r="I895" s="1662"/>
      <c r="J895" s="1662"/>
      <c r="K895" s="1662"/>
      <c r="L895" s="1662"/>
      <c r="M895" s="1662"/>
      <c r="N895" s="1662"/>
      <c r="O895" s="1662"/>
      <c r="P895" s="1662"/>
      <c r="Q895" s="1662"/>
      <c r="R895" s="1662"/>
      <c r="S895" s="1662"/>
      <c r="T895" s="1662"/>
      <c r="U895" s="1662"/>
      <c r="V895" s="1662"/>
      <c r="W895" s="1662"/>
      <c r="X895" s="1662"/>
      <c r="Y895" s="1662"/>
      <c r="Z895" s="1662"/>
      <c r="AA895" s="1662"/>
      <c r="AB895" s="1663"/>
      <c r="AC895" s="1633"/>
      <c r="AD895" s="1633"/>
      <c r="AE895" s="1633"/>
      <c r="AF895" s="1633"/>
      <c r="AG895" s="1633"/>
      <c r="AH895" s="1633"/>
      <c r="AU895" s="95"/>
      <c r="AZ895" s="34"/>
      <c r="BA895" s="34"/>
      <c r="BB895" s="34"/>
      <c r="BC895" s="34"/>
    </row>
    <row r="896" spans="3:55" ht="13.05" customHeight="1">
      <c r="E896" s="513"/>
      <c r="AB896" s="56"/>
      <c r="AC896" s="123"/>
      <c r="AD896" s="123"/>
      <c r="AE896" s="123"/>
      <c r="AF896" s="123"/>
      <c r="AG896" s="123"/>
      <c r="AH896" s="123"/>
      <c r="AU896" s="95"/>
      <c r="AZ896" s="34"/>
      <c r="BA896" s="34"/>
      <c r="BB896" s="34"/>
      <c r="BC896" s="34"/>
    </row>
    <row r="897" spans="1:58" ht="13.05" customHeight="1">
      <c r="A897" s="2" t="s">
        <v>613</v>
      </c>
      <c r="C897" s="2" t="s">
        <v>236</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4"/>
      <c r="AG898" s="180"/>
      <c r="AH898" s="180"/>
      <c r="AI898" s="180"/>
      <c r="AU898" s="95"/>
      <c r="AZ898" s="34"/>
      <c r="BB898" s="30"/>
      <c r="BC898" s="30"/>
      <c r="BD898" s="14"/>
      <c r="BE898" s="14"/>
      <c r="BF898" s="14"/>
    </row>
    <row r="899" spans="1:58" ht="13.05" customHeight="1">
      <c r="B899" s="2"/>
      <c r="H899" s="121" t="s">
        <v>237</v>
      </c>
      <c r="I899" s="5"/>
      <c r="J899" s="5"/>
      <c r="K899" s="5"/>
      <c r="L899" s="5"/>
      <c r="M899" s="5"/>
      <c r="N899" s="5"/>
      <c r="O899" s="5"/>
      <c r="P899" s="5"/>
      <c r="Q899" s="5"/>
      <c r="R899" s="5"/>
      <c r="S899" s="5"/>
      <c r="T899" s="5"/>
      <c r="U899" s="5"/>
      <c r="V899" s="5"/>
      <c r="W899" s="5"/>
      <c r="X899" s="5"/>
      <c r="Y899" s="46"/>
      <c r="Z899" s="1474"/>
      <c r="AA899" s="1337"/>
      <c r="AB899" s="1337"/>
      <c r="AC899" s="1337"/>
      <c r="AD899" s="1337"/>
      <c r="AE899" s="1338"/>
      <c r="AF899" s="534"/>
      <c r="AZ899" s="34"/>
      <c r="BB899" s="30"/>
      <c r="BC899" s="817"/>
      <c r="BD899" s="1630"/>
      <c r="BE899" s="1630"/>
      <c r="BF899" s="14"/>
    </row>
    <row r="900" spans="1:58" ht="13.05" customHeight="1">
      <c r="H900" s="121" t="s">
        <v>238</v>
      </c>
      <c r="I900" s="5"/>
      <c r="J900" s="5"/>
      <c r="K900" s="5"/>
      <c r="L900" s="5"/>
      <c r="M900" s="5"/>
      <c r="N900" s="5"/>
      <c r="O900" s="5"/>
      <c r="P900" s="5"/>
      <c r="Q900" s="5"/>
      <c r="R900" s="5"/>
      <c r="S900" s="5"/>
      <c r="T900" s="5"/>
      <c r="U900" s="5"/>
      <c r="V900" s="5"/>
      <c r="W900" s="5"/>
      <c r="X900" s="5"/>
      <c r="Y900" s="5"/>
      <c r="Z900" s="1474"/>
      <c r="AA900" s="1337"/>
      <c r="AB900" s="1337"/>
      <c r="AC900" s="1337"/>
      <c r="AD900" s="1337"/>
      <c r="AE900" s="1338"/>
      <c r="AZ900" s="34"/>
      <c r="BB900" s="30"/>
      <c r="BC900" s="817"/>
      <c r="BD900" s="1630"/>
      <c r="BE900" s="1630"/>
      <c r="BF900" s="14"/>
    </row>
    <row r="901" spans="1:58" ht="13.05" customHeight="1">
      <c r="H901" s="121" t="s">
        <v>239</v>
      </c>
      <c r="I901" s="5"/>
      <c r="J901" s="5"/>
      <c r="K901" s="5"/>
      <c r="L901" s="5"/>
      <c r="M901" s="5"/>
      <c r="N901" s="5"/>
      <c r="O901" s="5"/>
      <c r="P901" s="5"/>
      <c r="Q901" s="5"/>
      <c r="R901" s="5"/>
      <c r="S901" s="5"/>
      <c r="T901" s="5"/>
      <c r="U901" s="5"/>
      <c r="V901" s="5"/>
      <c r="W901" s="5"/>
      <c r="X901" s="5"/>
      <c r="Y901" s="5"/>
      <c r="Z901" s="1474"/>
      <c r="AA901" s="1337"/>
      <c r="AB901" s="1337"/>
      <c r="AC901" s="1337"/>
      <c r="AD901" s="1337"/>
      <c r="AE901" s="1338"/>
      <c r="AZ901" s="34"/>
      <c r="BB901" s="30"/>
      <c r="BC901" s="817"/>
      <c r="BD901" s="1629"/>
      <c r="BE901" s="1629"/>
      <c r="BF901" s="14"/>
    </row>
    <row r="902" spans="1:58" ht="13.05" customHeight="1">
      <c r="H902" s="45"/>
      <c r="I902" s="5"/>
      <c r="J902" s="5"/>
      <c r="K902" s="5"/>
      <c r="L902" s="5"/>
      <c r="M902" s="5"/>
      <c r="N902" s="5"/>
      <c r="O902" s="5"/>
      <c r="P902" s="5"/>
      <c r="Q902" s="5"/>
      <c r="R902" s="5"/>
      <c r="S902" s="5"/>
      <c r="T902" s="5"/>
      <c r="U902" s="5"/>
      <c r="V902" s="5"/>
      <c r="W902" s="5"/>
      <c r="X902" s="5"/>
      <c r="Y902" s="181" t="s">
        <v>240</v>
      </c>
      <c r="Z902" s="1471">
        <f>Z899-(Z900+Z901)</f>
        <v>0</v>
      </c>
      <c r="AA902" s="1472"/>
      <c r="AB902" s="1472"/>
      <c r="AC902" s="1472"/>
      <c r="AD902" s="1472"/>
      <c r="AE902" s="1473"/>
      <c r="AZ902" s="34"/>
      <c r="BB902" s="30"/>
      <c r="BC902" s="817"/>
      <c r="BD902" s="1629"/>
      <c r="BE902" s="1629"/>
      <c r="BF902" s="14"/>
    </row>
    <row r="903" spans="1:58" ht="13.0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9"/>
      <c r="BE903" s="1629"/>
      <c r="BF903" s="14"/>
    </row>
    <row r="904" spans="1:58" ht="13.0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0"/>
      <c r="BE904" s="1629"/>
      <c r="BF904" s="14"/>
    </row>
    <row r="905" spans="1:58" ht="13.0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59"/>
      <c r="BE905" s="1659"/>
      <c r="BF905" s="1659"/>
    </row>
    <row r="906" spans="1:58" ht="13.0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8"/>
      <c r="BE906" s="1658"/>
      <c r="BF906" s="1658"/>
    </row>
    <row r="907" spans="1:58" ht="13.0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9"/>
      <c r="BE907" s="1629"/>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0"/>
      <c r="BE908" s="1629"/>
      <c r="BF908" s="14"/>
    </row>
    <row r="909" spans="1:58" ht="13.05" customHeight="1">
      <c r="AZ909" s="34"/>
      <c r="BB909" s="30"/>
      <c r="BC909" s="817"/>
    </row>
    <row r="910" spans="1:58" ht="13.05" customHeight="1">
      <c r="A910" s="1531" t="s">
        <v>96</v>
      </c>
      <c r="B910" s="1531"/>
      <c r="C910" s="1531"/>
      <c r="D910" s="1531"/>
      <c r="E910" s="1531"/>
      <c r="F910" s="1531"/>
      <c r="G910" s="1531"/>
      <c r="H910" s="1531"/>
      <c r="I910" s="1531"/>
      <c r="J910" s="1531"/>
      <c r="K910" s="1531"/>
      <c r="L910" s="1531"/>
      <c r="M910" s="1531"/>
      <c r="N910" s="1531"/>
      <c r="O910" s="1531"/>
      <c r="P910" s="1531"/>
      <c r="Q910" s="1531"/>
      <c r="R910" s="1531"/>
      <c r="S910" s="1531"/>
      <c r="T910" s="1531"/>
      <c r="U910" s="1531"/>
      <c r="V910" s="1531"/>
      <c r="W910" s="1531"/>
      <c r="X910" s="1531"/>
      <c r="Y910" s="1531"/>
      <c r="Z910" s="1531"/>
      <c r="AA910" s="1531"/>
      <c r="AB910" s="1531"/>
      <c r="AC910" s="1531"/>
      <c r="AD910" s="1531"/>
      <c r="AE910" s="1531"/>
      <c r="AF910" s="1531"/>
      <c r="AG910" s="1531"/>
      <c r="AH910" s="1531"/>
      <c r="AI910" s="1531"/>
      <c r="AJ910" s="1531"/>
      <c r="AK910" s="1531"/>
      <c r="AL910" s="1531"/>
      <c r="AM910" s="1531"/>
      <c r="AN910" s="1531"/>
      <c r="AO910" s="1531"/>
      <c r="AP910" s="1531"/>
      <c r="AQ910" s="1531"/>
      <c r="AR910" s="1531"/>
      <c r="AS910" s="1531"/>
      <c r="AT910" s="1531"/>
      <c r="AZ910" s="34"/>
      <c r="BA910" s="34"/>
      <c r="BB910" s="30"/>
      <c r="BC910" s="30"/>
      <c r="BD910" s="1630"/>
      <c r="BE910" s="1629"/>
      <c r="BF910" s="912"/>
    </row>
    <row r="911" spans="1:58" ht="13.05" customHeight="1">
      <c r="A911" s="1531"/>
      <c r="B911" s="1531"/>
      <c r="C911" s="1531"/>
      <c r="D911" s="1531"/>
      <c r="E911" s="1531"/>
      <c r="F911" s="1531"/>
      <c r="G911" s="1531"/>
      <c r="H911" s="1531"/>
      <c r="I911" s="1531"/>
      <c r="J911" s="1531"/>
      <c r="K911" s="1531"/>
      <c r="L911" s="1531"/>
      <c r="M911" s="1531"/>
      <c r="N911" s="1531"/>
      <c r="O911" s="1531"/>
      <c r="P911" s="1531"/>
      <c r="Q911" s="1531"/>
      <c r="R911" s="1531"/>
      <c r="S911" s="1531"/>
      <c r="T911" s="1531"/>
      <c r="U911" s="1531"/>
      <c r="V911" s="1531"/>
      <c r="W911" s="1531"/>
      <c r="X911" s="1531"/>
      <c r="Y911" s="1531"/>
      <c r="Z911" s="1531"/>
      <c r="AA911" s="1531"/>
      <c r="AB911" s="1531"/>
      <c r="AC911" s="1531"/>
      <c r="AD911" s="1531"/>
      <c r="AE911" s="1531"/>
      <c r="AF911" s="1531"/>
      <c r="AG911" s="1531"/>
      <c r="AH911" s="1531"/>
      <c r="AI911" s="1531"/>
      <c r="AJ911" s="1531"/>
      <c r="AK911" s="1531"/>
      <c r="AL911" s="1531"/>
      <c r="AM911" s="1531"/>
      <c r="AN911" s="1531"/>
      <c r="AO911" s="1531"/>
      <c r="AP911" s="1531"/>
      <c r="AQ911" s="1531"/>
      <c r="AR911" s="1531"/>
      <c r="AS911" s="1531"/>
      <c r="AT911" s="1531"/>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706" t="s">
        <v>792</v>
      </c>
      <c r="G915" s="1707"/>
      <c r="H915" s="1707"/>
      <c r="I915" s="1707"/>
      <c r="J915" s="1707"/>
      <c r="K915" s="1707"/>
      <c r="L915" s="1707"/>
      <c r="M915" s="1707"/>
      <c r="N915" s="1707"/>
      <c r="O915" s="1707"/>
      <c r="P915" s="1707"/>
      <c r="Q915" s="1707"/>
      <c r="R915" s="1707"/>
      <c r="S915" s="1707"/>
      <c r="T915" s="1708"/>
      <c r="U915" s="1749" t="s">
        <v>31</v>
      </c>
      <c r="V915" s="1681"/>
      <c r="W915" s="1681"/>
      <c r="X915" s="1681"/>
      <c r="Y915" s="1681"/>
      <c r="Z915" s="1681"/>
      <c r="AA915" s="43"/>
      <c r="AB915" s="105"/>
      <c r="AC915" s="105"/>
      <c r="AD915" s="105"/>
      <c r="AE915" s="105"/>
      <c r="AF915" s="106"/>
      <c r="AZ915" s="34"/>
      <c r="BA915" s="34"/>
      <c r="BB915" s="34"/>
      <c r="BC915" s="34"/>
    </row>
    <row r="916" spans="1:58" ht="13.05" customHeight="1">
      <c r="B916" s="2"/>
      <c r="F916" s="1750" t="s">
        <v>818</v>
      </c>
      <c r="G916" s="1751"/>
      <c r="H916" s="1751"/>
      <c r="I916" s="1751"/>
      <c r="J916" s="1751"/>
      <c r="K916" s="1751"/>
      <c r="L916" s="1751"/>
      <c r="M916" s="1751"/>
      <c r="N916" s="1751"/>
      <c r="O916" s="1751"/>
      <c r="P916" s="1751"/>
      <c r="Q916" s="1751"/>
      <c r="R916" s="1751"/>
      <c r="S916" s="1751"/>
      <c r="T916" s="1773"/>
      <c r="U916" s="1750"/>
      <c r="V916" s="1751"/>
      <c r="W916" s="1751"/>
      <c r="X916" s="1751"/>
      <c r="Y916" s="1751"/>
      <c r="Z916" s="1751"/>
      <c r="AA916" s="44"/>
      <c r="AB916" s="4"/>
      <c r="AC916" s="4"/>
      <c r="AD916" s="4"/>
      <c r="AE916" s="4"/>
      <c r="AF916" s="107"/>
      <c r="AZ916" s="34"/>
      <c r="BA916" s="34"/>
      <c r="BB916" s="34"/>
      <c r="BC916" s="34"/>
    </row>
    <row r="917" spans="1:58" ht="13.05" customHeight="1">
      <c r="B917" s="2"/>
      <c r="F917" s="1752"/>
      <c r="G917" s="1683"/>
      <c r="H917" s="1683"/>
      <c r="I917" s="1683"/>
      <c r="J917" s="1683"/>
      <c r="K917" s="1683"/>
      <c r="L917" s="1683"/>
      <c r="M917" s="1683"/>
      <c r="N917" s="1683"/>
      <c r="O917" s="1683"/>
      <c r="P917" s="1683"/>
      <c r="Q917" s="1683"/>
      <c r="R917" s="1683"/>
      <c r="S917" s="1683"/>
      <c r="T917" s="1684"/>
      <c r="U917" s="1752"/>
      <c r="V917" s="1683"/>
      <c r="W917" s="1683"/>
      <c r="X917" s="1683"/>
      <c r="Y917" s="1683"/>
      <c r="Z917" s="1683"/>
      <c r="AA917" s="108"/>
      <c r="AB917" s="1430" t="s">
        <v>390</v>
      </c>
      <c r="AC917" s="1430"/>
      <c r="AD917" s="1430"/>
      <c r="AE917" s="1430"/>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623" t="s">
        <v>545</v>
      </c>
      <c r="V918" s="1426"/>
      <c r="W918" s="1426"/>
      <c r="X918" s="1426"/>
      <c r="Y918" s="1426"/>
      <c r="Z918" s="1427"/>
      <c r="AA918" s="1627">
        <v>21300000</v>
      </c>
      <c r="AB918" s="1518"/>
      <c r="AC918" s="1518"/>
      <c r="AD918" s="1518"/>
      <c r="AE918" s="1518"/>
      <c r="AF918" s="1628"/>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623" t="s">
        <v>591</v>
      </c>
      <c r="V919" s="1426"/>
      <c r="W919" s="1426"/>
      <c r="X919" s="1426"/>
      <c r="Y919" s="1426"/>
      <c r="Z919" s="1427"/>
      <c r="AA919" s="1627"/>
      <c r="AB919" s="1518"/>
      <c r="AC919" s="1518"/>
      <c r="AD919" s="1518"/>
      <c r="AE919" s="1518"/>
      <c r="AF919" s="1628"/>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623" t="s">
        <v>591</v>
      </c>
      <c r="V920" s="1426"/>
      <c r="W920" s="1426"/>
      <c r="X920" s="1426"/>
      <c r="Y920" s="1426"/>
      <c r="Z920" s="1427"/>
      <c r="AA920" s="1627"/>
      <c r="AB920" s="1518"/>
      <c r="AC920" s="1518"/>
      <c r="AD920" s="1518"/>
      <c r="AE920" s="1518"/>
      <c r="AF920" s="1628"/>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623" t="s">
        <v>591</v>
      </c>
      <c r="V921" s="1426"/>
      <c r="W921" s="1426"/>
      <c r="X921" s="1426"/>
      <c r="Y921" s="1426"/>
      <c r="Z921" s="1427"/>
      <c r="AA921" s="1627"/>
      <c r="AB921" s="1518"/>
      <c r="AC921" s="1518"/>
      <c r="AD921" s="1518"/>
      <c r="AE921" s="1518"/>
      <c r="AF921" s="1628"/>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623" t="s">
        <v>591</v>
      </c>
      <c r="V922" s="1426"/>
      <c r="W922" s="1426"/>
      <c r="X922" s="1426"/>
      <c r="Y922" s="1426"/>
      <c r="Z922" s="1427"/>
      <c r="AA922" s="1627"/>
      <c r="AB922" s="1518"/>
      <c r="AC922" s="1518"/>
      <c r="AD922" s="1518"/>
      <c r="AE922" s="1518"/>
      <c r="AF922" s="1628"/>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623" t="s">
        <v>591</v>
      </c>
      <c r="V923" s="1426"/>
      <c r="W923" s="1426"/>
      <c r="X923" s="1426"/>
      <c r="Y923" s="1426"/>
      <c r="Z923" s="1427"/>
      <c r="AA923" s="1627"/>
      <c r="AB923" s="1518"/>
      <c r="AC923" s="1518"/>
      <c r="AD923" s="1518"/>
      <c r="AE923" s="1518"/>
      <c r="AF923" s="1628"/>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623" t="s">
        <v>591</v>
      </c>
      <c r="V924" s="1426"/>
      <c r="W924" s="1426"/>
      <c r="X924" s="1426"/>
      <c r="Y924" s="1426"/>
      <c r="Z924" s="1427"/>
      <c r="AA924" s="1627"/>
      <c r="AB924" s="1518"/>
      <c r="AC924" s="1518"/>
      <c r="AD924" s="1518"/>
      <c r="AE924" s="1518"/>
      <c r="AF924" s="1628"/>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623" t="s">
        <v>591</v>
      </c>
      <c r="V925" s="1426"/>
      <c r="W925" s="1426"/>
      <c r="X925" s="1426"/>
      <c r="Y925" s="1426"/>
      <c r="Z925" s="1427"/>
      <c r="AA925" s="1627"/>
      <c r="AB925" s="1518"/>
      <c r="AC925" s="1518"/>
      <c r="AD925" s="1518"/>
      <c r="AE925" s="1518"/>
      <c r="AF925" s="1628"/>
      <c r="AZ925" s="34"/>
      <c r="BA925" s="34"/>
      <c r="BB925" s="34"/>
      <c r="BC925" s="34"/>
    </row>
    <row r="926" spans="1:58" ht="13.05" customHeight="1">
      <c r="F926" s="1620" t="s">
        <v>2194</v>
      </c>
      <c r="G926" s="1621"/>
      <c r="H926" s="1621"/>
      <c r="I926" s="1621"/>
      <c r="J926" s="1621"/>
      <c r="K926" s="1621"/>
      <c r="L926" s="1621"/>
      <c r="M926" s="1621"/>
      <c r="N926" s="1621"/>
      <c r="O926" s="1621"/>
      <c r="P926" s="1621"/>
      <c r="Q926" s="1621"/>
      <c r="R926" s="1621"/>
      <c r="S926" s="1621"/>
      <c r="T926" s="1622"/>
      <c r="U926" s="1623" t="s">
        <v>591</v>
      </c>
      <c r="V926" s="1426"/>
      <c r="W926" s="1426"/>
      <c r="X926" s="1426"/>
      <c r="Y926" s="1426"/>
      <c r="Z926" s="1427"/>
      <c r="AA926" s="1627"/>
      <c r="AB926" s="1518"/>
      <c r="AC926" s="1518"/>
      <c r="AD926" s="1518"/>
      <c r="AE926" s="1518"/>
      <c r="AF926" s="1628"/>
      <c r="AZ926" s="34"/>
      <c r="BA926" s="34"/>
      <c r="BB926" s="34"/>
      <c r="BC926" s="34"/>
    </row>
    <row r="927" spans="1:58" ht="13.05" customHeight="1">
      <c r="F927" s="1620" t="s">
        <v>679</v>
      </c>
      <c r="G927" s="1621"/>
      <c r="H927" s="1621"/>
      <c r="I927" s="1621"/>
      <c r="J927" s="1621"/>
      <c r="K927" s="1621"/>
      <c r="L927" s="1621"/>
      <c r="M927" s="1621"/>
      <c r="N927" s="1621"/>
      <c r="O927" s="1621"/>
      <c r="P927" s="1621"/>
      <c r="Q927" s="1621"/>
      <c r="R927" s="1621"/>
      <c r="S927" s="1621"/>
      <c r="T927" s="1622"/>
      <c r="U927" s="1623" t="s">
        <v>591</v>
      </c>
      <c r="V927" s="1426"/>
      <c r="W927" s="1426"/>
      <c r="X927" s="1426"/>
      <c r="Y927" s="1426"/>
      <c r="Z927" s="1427"/>
      <c r="AA927" s="1627"/>
      <c r="AB927" s="1518"/>
      <c r="AC927" s="1518"/>
      <c r="AD927" s="1518"/>
      <c r="AE927" s="1518"/>
      <c r="AF927" s="1628"/>
      <c r="AU927" s="2"/>
      <c r="AZ927" s="34"/>
      <c r="BA927" s="34"/>
      <c r="BB927" s="34"/>
      <c r="BC927" s="34"/>
    </row>
    <row r="928" spans="1:58" ht="13.05" customHeight="1">
      <c r="F928" s="1620" t="s">
        <v>2195</v>
      </c>
      <c r="G928" s="1621"/>
      <c r="H928" s="1621"/>
      <c r="I928" s="1621"/>
      <c r="J928" s="1621"/>
      <c r="K928" s="1621"/>
      <c r="L928" s="1621"/>
      <c r="M928" s="1621"/>
      <c r="N928" s="1621"/>
      <c r="O928" s="1621"/>
      <c r="P928" s="1621"/>
      <c r="Q928" s="1621"/>
      <c r="R928" s="1621"/>
      <c r="S928" s="1621"/>
      <c r="T928" s="1622"/>
      <c r="U928" s="1623" t="s">
        <v>591</v>
      </c>
      <c r="V928" s="1426"/>
      <c r="W928" s="1426"/>
      <c r="X928" s="1426"/>
      <c r="Y928" s="1426"/>
      <c r="Z928" s="1427"/>
      <c r="AA928" s="1627"/>
      <c r="AB928" s="1518"/>
      <c r="AC928" s="1518"/>
      <c r="AD928" s="1518"/>
      <c r="AE928" s="1518"/>
      <c r="AF928" s="1628"/>
      <c r="AU928" s="2"/>
      <c r="AZ928" s="34"/>
      <c r="BA928" s="34"/>
      <c r="BB928" s="34"/>
      <c r="BC928" s="34"/>
    </row>
    <row r="929" spans="6:55" ht="13.05" customHeight="1">
      <c r="F929" s="1620" t="s">
        <v>2196</v>
      </c>
      <c r="G929" s="1621"/>
      <c r="H929" s="1621"/>
      <c r="I929" s="1621"/>
      <c r="J929" s="1621"/>
      <c r="K929" s="1621"/>
      <c r="L929" s="1621"/>
      <c r="M929" s="1621"/>
      <c r="N929" s="1621"/>
      <c r="O929" s="1621"/>
      <c r="P929" s="1621"/>
      <c r="Q929" s="1621"/>
      <c r="R929" s="1621"/>
      <c r="S929" s="1621"/>
      <c r="T929" s="1622"/>
      <c r="U929" s="1623" t="s">
        <v>591</v>
      </c>
      <c r="V929" s="1426"/>
      <c r="W929" s="1426"/>
      <c r="X929" s="1426"/>
      <c r="Y929" s="1426"/>
      <c r="Z929" s="1427"/>
      <c r="AA929" s="1627"/>
      <c r="AB929" s="1518"/>
      <c r="AC929" s="1518"/>
      <c r="AD929" s="1518"/>
      <c r="AE929" s="1518"/>
      <c r="AF929" s="1628"/>
      <c r="AU929" s="2"/>
      <c r="AZ929" s="34"/>
      <c r="BA929" s="34"/>
      <c r="BB929" s="34"/>
      <c r="BC929" s="34"/>
    </row>
    <row r="930" spans="6:55" ht="13.05" customHeight="1">
      <c r="F930" s="1620" t="s">
        <v>2197</v>
      </c>
      <c r="G930" s="1621"/>
      <c r="H930" s="1621"/>
      <c r="I930" s="1621"/>
      <c r="J930" s="1621"/>
      <c r="K930" s="1621"/>
      <c r="L930" s="1621"/>
      <c r="M930" s="1621"/>
      <c r="N930" s="1621"/>
      <c r="O930" s="1621"/>
      <c r="P930" s="1621"/>
      <c r="Q930" s="1621"/>
      <c r="R930" s="1621"/>
      <c r="S930" s="1621"/>
      <c r="T930" s="1622"/>
      <c r="U930" s="1623" t="s">
        <v>591</v>
      </c>
      <c r="V930" s="1426"/>
      <c r="W930" s="1426"/>
      <c r="X930" s="1426"/>
      <c r="Y930" s="1426"/>
      <c r="Z930" s="1427"/>
      <c r="AA930" s="1627"/>
      <c r="AB930" s="1518"/>
      <c r="AC930" s="1518"/>
      <c r="AD930" s="1518"/>
      <c r="AE930" s="1518"/>
      <c r="AF930" s="1628"/>
      <c r="AU930" s="2"/>
      <c r="AZ930" s="34"/>
      <c r="BA930" s="34"/>
      <c r="BB930" s="34"/>
      <c r="BC930" s="34"/>
    </row>
    <row r="931" spans="6:55" ht="13.05" customHeight="1">
      <c r="F931" s="1620" t="s">
        <v>2198</v>
      </c>
      <c r="G931" s="1621"/>
      <c r="H931" s="1621"/>
      <c r="I931" s="1621"/>
      <c r="J931" s="1621"/>
      <c r="K931" s="1621"/>
      <c r="L931" s="1621"/>
      <c r="M931" s="1621"/>
      <c r="N931" s="1621"/>
      <c r="O931" s="1621"/>
      <c r="P931" s="1621"/>
      <c r="Q931" s="1621"/>
      <c r="R931" s="1621"/>
      <c r="S931" s="1621"/>
      <c r="T931" s="1622"/>
      <c r="U931" s="1623" t="s">
        <v>591</v>
      </c>
      <c r="V931" s="1426"/>
      <c r="W931" s="1426"/>
      <c r="X931" s="1426"/>
      <c r="Y931" s="1426"/>
      <c r="Z931" s="1427"/>
      <c r="AA931" s="1627"/>
      <c r="AB931" s="1518"/>
      <c r="AC931" s="1518"/>
      <c r="AD931" s="1518"/>
      <c r="AE931" s="1518"/>
      <c r="AF931" s="1628"/>
      <c r="AU931" s="2"/>
      <c r="AZ931" s="34"/>
      <c r="BA931" s="34"/>
      <c r="BB931" s="34"/>
      <c r="BC931" s="34"/>
    </row>
    <row r="932" spans="6:55" ht="13.05" customHeight="1">
      <c r="F932" s="1620" t="s">
        <v>2199</v>
      </c>
      <c r="G932" s="1621"/>
      <c r="H932" s="1621"/>
      <c r="I932" s="1621"/>
      <c r="J932" s="1621"/>
      <c r="K932" s="1621"/>
      <c r="L932" s="1621"/>
      <c r="M932" s="1621"/>
      <c r="N932" s="1621"/>
      <c r="O932" s="1621"/>
      <c r="P932" s="1621"/>
      <c r="Q932" s="1621"/>
      <c r="R932" s="1621"/>
      <c r="S932" s="1621"/>
      <c r="T932" s="1622"/>
      <c r="U932" s="1623" t="s">
        <v>591</v>
      </c>
      <c r="V932" s="1426"/>
      <c r="W932" s="1426"/>
      <c r="X932" s="1426"/>
      <c r="Y932" s="1426"/>
      <c r="Z932" s="1427"/>
      <c r="AA932" s="1627"/>
      <c r="AB932" s="1518"/>
      <c r="AC932" s="1518"/>
      <c r="AD932" s="1518"/>
      <c r="AE932" s="1518"/>
      <c r="AF932" s="1628"/>
      <c r="AZ932" s="30"/>
      <c r="BA932" s="30"/>
    </row>
    <row r="933" spans="6:55" ht="13.05" customHeight="1">
      <c r="F933" s="178" t="s">
        <v>676</v>
      </c>
      <c r="G933" s="5"/>
      <c r="H933" s="5"/>
      <c r="I933" s="5"/>
      <c r="J933" s="5"/>
      <c r="K933" s="5"/>
      <c r="L933" s="5"/>
      <c r="M933" s="5"/>
      <c r="N933" s="5"/>
      <c r="O933" s="5"/>
      <c r="P933" s="5"/>
      <c r="Q933" s="5"/>
      <c r="R933" s="5"/>
      <c r="S933" s="5"/>
      <c r="T933" s="46"/>
      <c r="U933" s="1623" t="s">
        <v>591</v>
      </c>
      <c r="V933" s="1426"/>
      <c r="W933" s="1426"/>
      <c r="X933" s="1426"/>
      <c r="Y933" s="1426"/>
      <c r="Z933" s="1427"/>
      <c r="AA933" s="1627"/>
      <c r="AB933" s="1518"/>
      <c r="AC933" s="1518"/>
      <c r="AD933" s="1518"/>
      <c r="AE933" s="1518"/>
      <c r="AF933" s="1628"/>
    </row>
    <row r="934" spans="6:55" ht="13.05" customHeight="1">
      <c r="F934" s="121" t="s">
        <v>1277</v>
      </c>
      <c r="G934" s="5"/>
      <c r="H934" s="5"/>
      <c r="I934" s="5"/>
      <c r="J934" s="5"/>
      <c r="K934" s="5"/>
      <c r="L934" s="5"/>
      <c r="M934" s="5"/>
      <c r="N934" s="5"/>
      <c r="O934" s="5"/>
      <c r="P934" s="5"/>
      <c r="Q934" s="5"/>
      <c r="R934" s="5"/>
      <c r="S934" s="5"/>
      <c r="T934" s="46"/>
      <c r="U934" s="1623" t="s">
        <v>591</v>
      </c>
      <c r="V934" s="1426"/>
      <c r="W934" s="1426"/>
      <c r="X934" s="1426"/>
      <c r="Y934" s="1426"/>
      <c r="Z934" s="1427"/>
      <c r="AA934" s="1627"/>
      <c r="AB934" s="1518"/>
      <c r="AC934" s="1518"/>
      <c r="AD934" s="1518"/>
      <c r="AE934" s="1518"/>
      <c r="AF934" s="1628"/>
      <c r="AZ934" s="30"/>
      <c r="BA934" s="14"/>
    </row>
    <row r="935" spans="6:55" ht="13.05" customHeight="1">
      <c r="F935" s="66" t="s">
        <v>802</v>
      </c>
      <c r="G935" s="5"/>
      <c r="H935" s="5"/>
      <c r="I935" s="5"/>
      <c r="J935" s="5"/>
      <c r="K935" s="5"/>
      <c r="L935" s="5"/>
      <c r="M935" s="5"/>
      <c r="N935" s="5"/>
      <c r="O935" s="5"/>
      <c r="P935" s="5"/>
      <c r="Q935" s="5"/>
      <c r="R935" s="5"/>
      <c r="S935" s="5"/>
      <c r="T935" s="46"/>
      <c r="U935" s="1623" t="s">
        <v>591</v>
      </c>
      <c r="V935" s="1426"/>
      <c r="W935" s="1426"/>
      <c r="X935" s="1426"/>
      <c r="Y935" s="1426"/>
      <c r="Z935" s="1427"/>
      <c r="AA935" s="1627"/>
      <c r="AB935" s="1518"/>
      <c r="AC935" s="1518"/>
      <c r="AD935" s="1518"/>
      <c r="AE935" s="1518"/>
      <c r="AF935" s="1628"/>
      <c r="AZ935" s="30"/>
      <c r="BA935" s="14"/>
    </row>
    <row r="936" spans="6:55" ht="13.05" customHeight="1">
      <c r="F936" s="1624" t="s">
        <v>2203</v>
      </c>
      <c r="G936" s="1625"/>
      <c r="H936" s="1625"/>
      <c r="I936" s="1625"/>
      <c r="J936" s="1625"/>
      <c r="K936" s="1625"/>
      <c r="L936" s="1625"/>
      <c r="M936" s="1625"/>
      <c r="N936" s="1625"/>
      <c r="O936" s="1625"/>
      <c r="P936" s="1625"/>
      <c r="Q936" s="1625"/>
      <c r="R936" s="1625"/>
      <c r="S936" s="1625"/>
      <c r="T936" s="1626"/>
      <c r="U936" s="1623" t="s">
        <v>591</v>
      </c>
      <c r="V936" s="1426"/>
      <c r="W936" s="1426"/>
      <c r="X936" s="1426"/>
      <c r="Y936" s="1426"/>
      <c r="Z936" s="1427"/>
      <c r="AA936" s="1627"/>
      <c r="AB936" s="1518"/>
      <c r="AC936" s="1518"/>
      <c r="AD936" s="1518"/>
      <c r="AE936" s="1518"/>
      <c r="AF936" s="1628"/>
      <c r="AZ936" s="30"/>
      <c r="BA936" s="14"/>
    </row>
    <row r="937" spans="6:55" ht="13.05" customHeight="1">
      <c r="F937" s="1624" t="s">
        <v>2204</v>
      </c>
      <c r="G937" s="1625"/>
      <c r="H937" s="1625"/>
      <c r="I937" s="1625"/>
      <c r="J937" s="1625"/>
      <c r="K937" s="1625"/>
      <c r="L937" s="1625"/>
      <c r="M937" s="1625"/>
      <c r="N937" s="1625"/>
      <c r="O937" s="1625"/>
      <c r="P937" s="1625"/>
      <c r="Q937" s="1625"/>
      <c r="R937" s="1625"/>
      <c r="S937" s="1625"/>
      <c r="T937" s="1626"/>
      <c r="U937" s="1623" t="s">
        <v>591</v>
      </c>
      <c r="V937" s="1426"/>
      <c r="W937" s="1426"/>
      <c r="X937" s="1426"/>
      <c r="Y937" s="1426"/>
      <c r="Z937" s="1427"/>
      <c r="AA937" s="1627"/>
      <c r="AB937" s="1518"/>
      <c r="AC937" s="1518"/>
      <c r="AD937" s="1518"/>
      <c r="AE937" s="1518"/>
      <c r="AF937" s="1628"/>
      <c r="AZ937" s="30"/>
      <c r="BA937" s="30"/>
    </row>
    <row r="938" spans="6:55" ht="13.05" customHeight="1">
      <c r="F938" s="1620" t="s">
        <v>2200</v>
      </c>
      <c r="G938" s="1621"/>
      <c r="H938" s="1621"/>
      <c r="I938" s="1621"/>
      <c r="J938" s="1621"/>
      <c r="K938" s="1621"/>
      <c r="L938" s="1621"/>
      <c r="M938" s="1621"/>
      <c r="N938" s="1621"/>
      <c r="O938" s="1621"/>
      <c r="P938" s="1621"/>
      <c r="Q938" s="1621"/>
      <c r="R938" s="1621"/>
      <c r="S938" s="1621"/>
      <c r="T938" s="1622"/>
      <c r="U938" s="1623" t="s">
        <v>591</v>
      </c>
      <c r="V938" s="1426"/>
      <c r="W938" s="1426"/>
      <c r="X938" s="1426"/>
      <c r="Y938" s="1426"/>
      <c r="Z938" s="1427"/>
      <c r="AA938" s="1627"/>
      <c r="AB938" s="1518"/>
      <c r="AC938" s="1518"/>
      <c r="AD938" s="1518"/>
      <c r="AE938" s="1518"/>
      <c r="AF938" s="1628"/>
      <c r="AZ938" s="30"/>
      <c r="BA938" s="30"/>
    </row>
    <row r="939" spans="6:55" ht="13.05" customHeight="1">
      <c r="F939" s="1620" t="s">
        <v>2201</v>
      </c>
      <c r="G939" s="1621"/>
      <c r="H939" s="1621"/>
      <c r="I939" s="1621"/>
      <c r="J939" s="1621"/>
      <c r="K939" s="1621"/>
      <c r="L939" s="1621"/>
      <c r="M939" s="1621"/>
      <c r="N939" s="1621"/>
      <c r="O939" s="1621"/>
      <c r="P939" s="1621"/>
      <c r="Q939" s="1621"/>
      <c r="R939" s="1621"/>
      <c r="S939" s="1621"/>
      <c r="T939" s="1622"/>
      <c r="U939" s="1623" t="s">
        <v>591</v>
      </c>
      <c r="V939" s="1426"/>
      <c r="W939" s="1426"/>
      <c r="X939" s="1426"/>
      <c r="Y939" s="1426"/>
      <c r="Z939" s="1427"/>
      <c r="AA939" s="1627"/>
      <c r="AB939" s="1518"/>
      <c r="AC939" s="1518"/>
      <c r="AD939" s="1518"/>
      <c r="AE939" s="1518"/>
      <c r="AF939" s="1628"/>
      <c r="AZ939" s="30"/>
      <c r="BA939" s="30"/>
    </row>
    <row r="940" spans="6:55" ht="13.05" customHeight="1">
      <c r="F940" s="1620" t="s">
        <v>2202</v>
      </c>
      <c r="G940" s="1621"/>
      <c r="H940" s="1621"/>
      <c r="I940" s="1621"/>
      <c r="J940" s="1621"/>
      <c r="K940" s="1621"/>
      <c r="L940" s="1621"/>
      <c r="M940" s="1621"/>
      <c r="N940" s="1621"/>
      <c r="O940" s="1621"/>
      <c r="P940" s="1621"/>
      <c r="Q940" s="1621"/>
      <c r="R940" s="1621"/>
      <c r="S940" s="1621"/>
      <c r="T940" s="1622"/>
      <c r="U940" s="1623" t="s">
        <v>591</v>
      </c>
      <c r="V940" s="1426"/>
      <c r="W940" s="1426"/>
      <c r="X940" s="1426"/>
      <c r="Y940" s="1426"/>
      <c r="Z940" s="1427"/>
      <c r="AA940" s="1627"/>
      <c r="AB940" s="1518"/>
      <c r="AC940" s="1518"/>
      <c r="AD940" s="1518"/>
      <c r="AE940" s="1518"/>
      <c r="AF940" s="1628"/>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623" t="s">
        <v>591</v>
      </c>
      <c r="V941" s="1426"/>
      <c r="W941" s="1426"/>
      <c r="X941" s="1426"/>
      <c r="Y941" s="1426"/>
      <c r="Z941" s="1427"/>
      <c r="AA941" s="1627"/>
      <c r="AB941" s="1518"/>
      <c r="AC941" s="1518"/>
      <c r="AD941" s="1518"/>
      <c r="AE941" s="1518"/>
      <c r="AF941" s="1628"/>
      <c r="AZ941" s="34"/>
      <c r="BA941" s="34"/>
      <c r="BB941" s="14"/>
      <c r="BC941" s="14"/>
    </row>
    <row r="942" spans="6:55" ht="13.05" customHeight="1">
      <c r="F942" s="1624" t="s">
        <v>2205</v>
      </c>
      <c r="G942" s="1625"/>
      <c r="H942" s="1625"/>
      <c r="I942" s="1625"/>
      <c r="J942" s="1625"/>
      <c r="K942" s="1625"/>
      <c r="L942" s="1625"/>
      <c r="M942" s="1625"/>
      <c r="N942" s="1625"/>
      <c r="O942" s="1625"/>
      <c r="P942" s="1625"/>
      <c r="Q942" s="1625"/>
      <c r="R942" s="1625"/>
      <c r="S942" s="1625"/>
      <c r="T942" s="1626"/>
      <c r="U942" s="1623" t="s">
        <v>591</v>
      </c>
      <c r="V942" s="1426"/>
      <c r="W942" s="1426"/>
      <c r="X942" s="1426"/>
      <c r="Y942" s="1426"/>
      <c r="Z942" s="1427"/>
      <c r="AA942" s="1627"/>
      <c r="AB942" s="1518"/>
      <c r="AC942" s="1518"/>
      <c r="AD942" s="1518"/>
      <c r="AE942" s="1518"/>
      <c r="AF942" s="1628"/>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623" t="s">
        <v>591</v>
      </c>
      <c r="V943" s="1426"/>
      <c r="W943" s="1426"/>
      <c r="X943" s="1426"/>
      <c r="Y943" s="1426"/>
      <c r="Z943" s="1427"/>
      <c r="AA943" s="1627"/>
      <c r="AB943" s="1518"/>
      <c r="AC943" s="1518"/>
      <c r="AD943" s="1518"/>
      <c r="AE943" s="1518"/>
      <c r="AF943" s="1628"/>
      <c r="AZ943" s="34"/>
      <c r="BA943" s="34"/>
      <c r="BB943" s="34"/>
      <c r="BC943" s="34"/>
    </row>
    <row r="944" spans="6:55" ht="13.05" customHeight="1">
      <c r="F944" s="1624" t="s">
        <v>2206</v>
      </c>
      <c r="G944" s="1625"/>
      <c r="H944" s="1625"/>
      <c r="I944" s="1625"/>
      <c r="J944" s="1625"/>
      <c r="K944" s="1625"/>
      <c r="L944" s="1625"/>
      <c r="M944" s="1625"/>
      <c r="N944" s="1625"/>
      <c r="O944" s="1625"/>
      <c r="P944" s="1625"/>
      <c r="Q944" s="1625"/>
      <c r="R944" s="1625"/>
      <c r="S944" s="1625"/>
      <c r="T944" s="1626"/>
      <c r="U944" s="1623" t="s">
        <v>591</v>
      </c>
      <c r="V944" s="1426"/>
      <c r="W944" s="1426"/>
      <c r="X944" s="1426"/>
      <c r="Y944" s="1426"/>
      <c r="Z944" s="1427"/>
      <c r="AA944" s="1627"/>
      <c r="AB944" s="1518"/>
      <c r="AC944" s="1518"/>
      <c r="AD944" s="1518"/>
      <c r="AE944" s="1518"/>
      <c r="AF944" s="1628"/>
      <c r="AZ944" s="34"/>
      <c r="BA944" s="34"/>
      <c r="BB944" s="34"/>
      <c r="BC944" s="34"/>
    </row>
    <row r="945" spans="1:55" ht="13.05" customHeight="1">
      <c r="F945" s="45" t="s">
        <v>806</v>
      </c>
      <c r="G945" s="5"/>
      <c r="H945" s="5"/>
      <c r="I945" s="5"/>
      <c r="J945" s="5"/>
      <c r="K945" s="5"/>
      <c r="L945" s="5"/>
      <c r="M945" s="5"/>
      <c r="N945" s="5"/>
      <c r="O945" s="5"/>
      <c r="P945" s="1623" t="s">
        <v>669</v>
      </c>
      <c r="Q945" s="1426"/>
      <c r="R945" s="1426"/>
      <c r="S945" s="1426"/>
      <c r="T945" s="1427"/>
      <c r="U945" s="1623" t="s">
        <v>591</v>
      </c>
      <c r="V945" s="1426"/>
      <c r="W945" s="1426"/>
      <c r="X945" s="1426"/>
      <c r="Y945" s="1426"/>
      <c r="Z945" s="1427"/>
      <c r="AA945" s="1627"/>
      <c r="AB945" s="1518"/>
      <c r="AC945" s="1518"/>
      <c r="AD945" s="1518"/>
      <c r="AE945" s="1518"/>
      <c r="AF945" s="1628"/>
      <c r="AZ945" s="34"/>
      <c r="BA945" s="34"/>
      <c r="BB945" s="34"/>
      <c r="BC945" s="34"/>
    </row>
    <row r="946" spans="1:55" ht="13.05" customHeight="1">
      <c r="F946" s="1620" t="s">
        <v>2193</v>
      </c>
      <c r="G946" s="1621"/>
      <c r="H946" s="1622"/>
      <c r="I946" s="1637" t="s">
        <v>333</v>
      </c>
      <c r="J946" s="1638"/>
      <c r="K946" s="1638"/>
      <c r="L946" s="1638"/>
      <c r="M946" s="1638"/>
      <c r="N946" s="1638"/>
      <c r="O946" s="1638"/>
      <c r="P946" s="1638"/>
      <c r="Q946" s="1638"/>
      <c r="R946" s="1638"/>
      <c r="S946" s="1638"/>
      <c r="T946" s="1639"/>
      <c r="U946" s="1623" t="s">
        <v>591</v>
      </c>
      <c r="V946" s="1426"/>
      <c r="W946" s="1426"/>
      <c r="X946" s="1426"/>
      <c r="Y946" s="1426"/>
      <c r="Z946" s="1427"/>
      <c r="AA946" s="1627"/>
      <c r="AB946" s="1518"/>
      <c r="AC946" s="1518"/>
      <c r="AD946" s="1518"/>
      <c r="AE946" s="1518"/>
      <c r="AF946" s="1628"/>
      <c r="AZ946" s="34"/>
      <c r="BA946" s="34"/>
      <c r="BB946" s="34"/>
      <c r="BC946" s="34"/>
    </row>
    <row r="947" spans="1:55" ht="13.05" customHeight="1">
      <c r="F947" s="45" t="s">
        <v>86</v>
      </c>
      <c r="G947" s="48"/>
      <c r="H947" s="48"/>
      <c r="I947" s="1637" t="s">
        <v>333</v>
      </c>
      <c r="J947" s="1638"/>
      <c r="K947" s="1638"/>
      <c r="L947" s="1638"/>
      <c r="M947" s="1638"/>
      <c r="N947" s="1638"/>
      <c r="O947" s="1638"/>
      <c r="P947" s="1638"/>
      <c r="Q947" s="1638"/>
      <c r="R947" s="1638"/>
      <c r="S947" s="1638"/>
      <c r="T947" s="1639"/>
      <c r="U947" s="1623" t="s">
        <v>591</v>
      </c>
      <c r="V947" s="1426"/>
      <c r="W947" s="1426"/>
      <c r="X947" s="1426"/>
      <c r="Y947" s="1426"/>
      <c r="Z947" s="1427"/>
      <c r="AA947" s="1627"/>
      <c r="AB947" s="1518"/>
      <c r="AC947" s="1518"/>
      <c r="AD947" s="1518"/>
      <c r="AE947" s="1518"/>
      <c r="AF947" s="1628"/>
      <c r="AZ947" s="34"/>
      <c r="BA947" s="34"/>
      <c r="BB947" s="34"/>
      <c r="BC947" s="34"/>
    </row>
    <row r="948" spans="1:55" ht="13.05" customHeight="1">
      <c r="F948" s="45" t="s">
        <v>10</v>
      </c>
      <c r="G948" s="48"/>
      <c r="H948" s="48"/>
      <c r="I948" s="1693" t="s">
        <v>333</v>
      </c>
      <c r="J948" s="1694"/>
      <c r="K948" s="1694"/>
      <c r="L948" s="1694"/>
      <c r="M948" s="1694"/>
      <c r="N948" s="1694"/>
      <c r="O948" s="1694"/>
      <c r="P948" s="1694"/>
      <c r="Q948" s="1694"/>
      <c r="R948" s="1694"/>
      <c r="S948" s="1694"/>
      <c r="T948" s="1695"/>
      <c r="U948" s="1623" t="s">
        <v>591</v>
      </c>
      <c r="V948" s="1426"/>
      <c r="W948" s="1426"/>
      <c r="X948" s="1426"/>
      <c r="Y948" s="1426"/>
      <c r="Z948" s="1427"/>
      <c r="AA948" s="1627"/>
      <c r="AB948" s="1518"/>
      <c r="AC948" s="1518"/>
      <c r="AD948" s="1518"/>
      <c r="AE948" s="1518"/>
      <c r="AF948" s="1628"/>
      <c r="AV948" s="2"/>
      <c r="AW948" s="2"/>
      <c r="AX948" s="2"/>
      <c r="AY948" s="2"/>
      <c r="AZ948" s="34"/>
      <c r="BA948" s="34"/>
      <c r="BB948" s="34"/>
      <c r="BC948" s="34"/>
    </row>
    <row r="949" spans="1:55" ht="13.05" customHeight="1">
      <c r="F949" s="47" t="s">
        <v>169</v>
      </c>
      <c r="G949" s="48"/>
      <c r="H949" s="48"/>
      <c r="I949" s="1693" t="s">
        <v>333</v>
      </c>
      <c r="J949" s="1694"/>
      <c r="K949" s="1694"/>
      <c r="L949" s="1694"/>
      <c r="M949" s="1694"/>
      <c r="N949" s="1694"/>
      <c r="O949" s="1694"/>
      <c r="P949" s="1694"/>
      <c r="Q949" s="1694"/>
      <c r="R949" s="1694"/>
      <c r="S949" s="1694"/>
      <c r="T949" s="1695"/>
      <c r="U949" s="1623" t="s">
        <v>591</v>
      </c>
      <c r="V949" s="1426"/>
      <c r="W949" s="1426"/>
      <c r="X949" s="1426"/>
      <c r="Y949" s="1426"/>
      <c r="Z949" s="1427"/>
      <c r="AA949" s="1627"/>
      <c r="AB949" s="1518"/>
      <c r="AC949" s="1518"/>
      <c r="AD949" s="1518"/>
      <c r="AE949" s="1518"/>
      <c r="AF949" s="1628"/>
      <c r="AU949" s="2"/>
      <c r="AZ949" s="34"/>
      <c r="BA949" s="34"/>
      <c r="BB949" s="34"/>
      <c r="BC949" s="34"/>
    </row>
    <row r="950" spans="1:55" ht="13.05" customHeight="1">
      <c r="F950" s="47" t="s">
        <v>169</v>
      </c>
      <c r="G950" s="48"/>
      <c r="H950" s="48"/>
      <c r="I950" s="1693" t="s">
        <v>333</v>
      </c>
      <c r="J950" s="1694"/>
      <c r="K950" s="1694"/>
      <c r="L950" s="1694"/>
      <c r="M950" s="1694"/>
      <c r="N950" s="1694"/>
      <c r="O950" s="1694"/>
      <c r="P950" s="1694"/>
      <c r="Q950" s="1694"/>
      <c r="R950" s="1694"/>
      <c r="S950" s="1694"/>
      <c r="T950" s="1695"/>
      <c r="U950" s="1623" t="s">
        <v>591</v>
      </c>
      <c r="V950" s="1426"/>
      <c r="W950" s="1426"/>
      <c r="X950" s="1426"/>
      <c r="Y950" s="1426"/>
      <c r="Z950" s="1427"/>
      <c r="AA950" s="1627"/>
      <c r="AB950" s="1518"/>
      <c r="AC950" s="1518"/>
      <c r="AD950" s="1518"/>
      <c r="AE950" s="1518"/>
      <c r="AF950" s="1628"/>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697" t="s">
        <v>2727</v>
      </c>
      <c r="N955" s="1524"/>
      <c r="O955" s="1524"/>
      <c r="P955" s="1524"/>
      <c r="Q955" s="1524"/>
      <c r="R955" s="1524"/>
      <c r="S955" s="1618"/>
      <c r="U955" s="66" t="s">
        <v>11</v>
      </c>
      <c r="V955" s="5"/>
      <c r="W955" s="5"/>
      <c r="X955" s="5"/>
      <c r="Y955" s="5"/>
      <c r="Z955" s="5"/>
      <c r="AA955" s="5"/>
      <c r="AB955" s="5"/>
      <c r="AC955" s="5"/>
      <c r="AD955" s="46"/>
      <c r="AE955" s="1697"/>
      <c r="AF955" s="1524"/>
      <c r="AG955" s="1524"/>
      <c r="AH955" s="1524"/>
      <c r="AI955" s="1524"/>
      <c r="AJ955" s="1524"/>
      <c r="AK955" s="1618"/>
      <c r="AZ955" s="34"/>
      <c r="BA955" s="34"/>
      <c r="BB955" s="34"/>
      <c r="BC955" s="34"/>
    </row>
    <row r="956" spans="1:55" ht="13.05" customHeight="1">
      <c r="C956" s="66" t="s">
        <v>12</v>
      </c>
      <c r="D956" s="5"/>
      <c r="E956" s="5"/>
      <c r="F956" s="5"/>
      <c r="G956" s="5"/>
      <c r="H956" s="5"/>
      <c r="I956" s="5"/>
      <c r="J956" s="5"/>
      <c r="K956" s="5"/>
      <c r="L956" s="46"/>
      <c r="M956" s="1656" t="s">
        <v>2728</v>
      </c>
      <c r="N956" s="1563"/>
      <c r="O956" s="1563"/>
      <c r="P956" s="1563"/>
      <c r="Q956" s="1563"/>
      <c r="R956" s="1563"/>
      <c r="S956" s="1657"/>
      <c r="U956" s="66" t="s">
        <v>12</v>
      </c>
      <c r="V956" s="5"/>
      <c r="W956" s="5"/>
      <c r="X956" s="5"/>
      <c r="Y956" s="5"/>
      <c r="Z956" s="5"/>
      <c r="AA956" s="5"/>
      <c r="AB956" s="5"/>
      <c r="AC956" s="5"/>
      <c r="AD956" s="46"/>
      <c r="AE956" s="1656"/>
      <c r="AF956" s="1563"/>
      <c r="AG956" s="1563"/>
      <c r="AH956" s="1563"/>
      <c r="AI956" s="1563"/>
      <c r="AJ956" s="1563"/>
      <c r="AK956" s="1657"/>
      <c r="AZ956" s="34"/>
      <c r="BA956" s="34"/>
      <c r="BB956" s="34"/>
      <c r="BC956" s="34"/>
    </row>
    <row r="957" spans="1:55" ht="13.05" customHeight="1">
      <c r="C957" s="66" t="s">
        <v>880</v>
      </c>
      <c r="D957" s="5"/>
      <c r="E957" s="5"/>
      <c r="J957" s="1801" t="s">
        <v>2741</v>
      </c>
      <c r="K957" s="1802"/>
      <c r="L957" s="1802"/>
      <c r="M957" s="1802"/>
      <c r="N957" s="1802"/>
      <c r="O957" s="1802"/>
      <c r="P957" s="1802"/>
      <c r="Q957" s="1802"/>
      <c r="R957" s="1802"/>
      <c r="S957" s="1803"/>
      <c r="U957" s="66" t="s">
        <v>880</v>
      </c>
      <c r="V957" s="5"/>
      <c r="W957" s="5"/>
      <c r="AB957" s="1801" t="s">
        <v>306</v>
      </c>
      <c r="AC957" s="1802"/>
      <c r="AD957" s="1802"/>
      <c r="AE957" s="1802"/>
      <c r="AF957" s="1802"/>
      <c r="AG957" s="1802"/>
      <c r="AH957" s="1802"/>
      <c r="AI957" s="1802"/>
      <c r="AJ957" s="1802"/>
      <c r="AK957" s="1803"/>
      <c r="AZ957" s="34"/>
      <c r="BA957" s="34"/>
      <c r="BB957" s="34"/>
      <c r="BC957" s="34"/>
    </row>
    <row r="958" spans="1:55" ht="13.05" customHeight="1">
      <c r="C958" s="66" t="s">
        <v>13</v>
      </c>
      <c r="D958" s="5"/>
      <c r="E958" s="5"/>
      <c r="F958" s="5"/>
      <c r="G958" s="5"/>
      <c r="H958" s="5"/>
      <c r="I958" s="5"/>
      <c r="J958" s="5"/>
      <c r="K958" s="5"/>
      <c r="L958" s="46"/>
      <c r="M958" s="1698">
        <v>1</v>
      </c>
      <c r="N958" s="1699"/>
      <c r="O958" s="1699"/>
      <c r="P958" s="1699"/>
      <c r="Q958" s="1699"/>
      <c r="R958" s="1699"/>
      <c r="S958" s="1700"/>
      <c r="U958" s="66" t="s">
        <v>13</v>
      </c>
      <c r="V958" s="5"/>
      <c r="W958" s="5"/>
      <c r="X958" s="5"/>
      <c r="Y958" s="5"/>
      <c r="Z958" s="5"/>
      <c r="AA958" s="5"/>
      <c r="AB958" s="5"/>
      <c r="AC958" s="5"/>
      <c r="AD958" s="46"/>
      <c r="AE958" s="1772"/>
      <c r="AF958" s="1699"/>
      <c r="AG958" s="1699"/>
      <c r="AH958" s="1699"/>
      <c r="AI958" s="1699"/>
      <c r="AJ958" s="1699"/>
      <c r="AK958" s="1700"/>
      <c r="AZ958" s="34"/>
      <c r="BA958" s="34"/>
      <c r="BB958" s="34"/>
      <c r="BC958" s="34"/>
    </row>
    <row r="959" spans="1:55" ht="13.05" customHeight="1">
      <c r="C959" s="66" t="s">
        <v>14</v>
      </c>
      <c r="D959" s="5"/>
      <c r="E959" s="5"/>
      <c r="F959" s="5"/>
      <c r="G959" s="5"/>
      <c r="H959" s="5"/>
      <c r="I959" s="5"/>
      <c r="J959" s="5"/>
      <c r="K959" s="5"/>
      <c r="L959" s="46"/>
      <c r="M959" s="1718">
        <v>63</v>
      </c>
      <c r="N959" s="1602"/>
      <c r="O959" s="1602"/>
      <c r="P959" s="1602"/>
      <c r="Q959" s="1602"/>
      <c r="R959" s="1602"/>
      <c r="S959" s="1603"/>
      <c r="U959" s="66" t="s">
        <v>14</v>
      </c>
      <c r="V959" s="5"/>
      <c r="W959" s="5"/>
      <c r="X959" s="5"/>
      <c r="Y959" s="5"/>
      <c r="Z959" s="5"/>
      <c r="AA959" s="5"/>
      <c r="AB959" s="5"/>
      <c r="AC959" s="5"/>
      <c r="AD959" s="46"/>
      <c r="AE959" s="1718"/>
      <c r="AF959" s="1602"/>
      <c r="AG959" s="1602"/>
      <c r="AH959" s="1602"/>
      <c r="AI959" s="1602"/>
      <c r="AJ959" s="1602"/>
      <c r="AK959" s="1603"/>
      <c r="AV959" s="2"/>
      <c r="AW959" s="2"/>
      <c r="AX959" s="2"/>
      <c r="AY959" s="2"/>
      <c r="AZ959" s="34"/>
      <c r="BA959" s="34"/>
      <c r="BB959" s="34"/>
      <c r="BC959" s="34"/>
    </row>
    <row r="960" spans="1:55" ht="13.05" customHeight="1">
      <c r="C960" s="66" t="s">
        <v>15</v>
      </c>
      <c r="D960" s="5"/>
      <c r="E960" s="5"/>
      <c r="F960" s="5"/>
      <c r="G960" s="5"/>
      <c r="H960" s="5"/>
      <c r="I960" s="5"/>
      <c r="J960" s="5"/>
      <c r="K960" s="5"/>
      <c r="L960" s="46"/>
      <c r="M960" s="1627">
        <v>541020</v>
      </c>
      <c r="N960" s="1518"/>
      <c r="O960" s="1518"/>
      <c r="P960" s="1518"/>
      <c r="Q960" s="1518"/>
      <c r="R960" s="1518"/>
      <c r="S960" s="1628"/>
      <c r="U960" s="66" t="s">
        <v>15</v>
      </c>
      <c r="V960" s="5"/>
      <c r="W960" s="5"/>
      <c r="X960" s="5"/>
      <c r="Y960" s="5"/>
      <c r="Z960" s="5"/>
      <c r="AA960" s="5"/>
      <c r="AB960" s="5"/>
      <c r="AC960" s="5"/>
      <c r="AD960" s="46"/>
      <c r="AE960" s="1627"/>
      <c r="AF960" s="1518"/>
      <c r="AG960" s="1518"/>
      <c r="AH960" s="1518"/>
      <c r="AI960" s="1518"/>
      <c r="AJ960" s="1518"/>
      <c r="AK960" s="1628"/>
      <c r="AV960" s="2"/>
      <c r="AW960" s="2"/>
      <c r="AX960" s="2"/>
      <c r="AY960" s="2"/>
      <c r="AZ960" s="34"/>
      <c r="BA960" s="34"/>
      <c r="BB960" s="34"/>
      <c r="BC960" s="34"/>
    </row>
    <row r="961" spans="1:64" ht="13.05" customHeight="1">
      <c r="C961" s="66" t="s">
        <v>16</v>
      </c>
      <c r="D961" s="5"/>
      <c r="E961" s="5"/>
      <c r="F961" s="5"/>
      <c r="G961" s="5"/>
      <c r="H961" s="5"/>
      <c r="I961" s="5"/>
      <c r="J961" s="5"/>
      <c r="K961" s="5"/>
      <c r="L961" s="46"/>
      <c r="M961" s="1627">
        <v>10820400</v>
      </c>
      <c r="N961" s="1518"/>
      <c r="O961" s="1518"/>
      <c r="P961" s="1518"/>
      <c r="Q961" s="1518"/>
      <c r="R961" s="1518"/>
      <c r="S961" s="1628"/>
      <c r="U961" s="66" t="s">
        <v>16</v>
      </c>
      <c r="V961" s="5"/>
      <c r="W961" s="5"/>
      <c r="X961" s="5"/>
      <c r="Y961" s="5"/>
      <c r="Z961" s="5"/>
      <c r="AA961" s="5"/>
      <c r="AB961" s="5"/>
      <c r="AC961" s="5"/>
      <c r="AD961" s="46"/>
      <c r="AE961" s="1627"/>
      <c r="AF961" s="1518"/>
      <c r="AG961" s="1518"/>
      <c r="AH961" s="1518"/>
      <c r="AI961" s="1518"/>
      <c r="AJ961" s="1518"/>
      <c r="AK961" s="1628"/>
      <c r="AV961" s="2"/>
      <c r="AW961" s="2"/>
      <c r="AX961" s="2"/>
      <c r="AY961" s="2"/>
      <c r="AZ961" s="34"/>
      <c r="BB961" s="34"/>
      <c r="BC961" s="34"/>
    </row>
    <row r="962" spans="1:64" ht="13.05" customHeight="1">
      <c r="C962" s="121" t="s">
        <v>1661</v>
      </c>
      <c r="D962" s="5"/>
      <c r="E962" s="5"/>
      <c r="F962" s="5"/>
      <c r="G962" s="5"/>
      <c r="H962" s="5"/>
      <c r="I962" s="5"/>
      <c r="J962" s="5"/>
      <c r="K962" s="5"/>
      <c r="L962" s="46"/>
      <c r="M962" s="1769">
        <v>20</v>
      </c>
      <c r="N962" s="1770"/>
      <c r="O962" s="1770"/>
      <c r="P962" s="1770"/>
      <c r="Q962" s="1770"/>
      <c r="R962" s="1770"/>
      <c r="S962" s="1771"/>
      <c r="U962" s="121" t="s">
        <v>1661</v>
      </c>
      <c r="V962" s="5"/>
      <c r="W962" s="5"/>
      <c r="X962" s="5"/>
      <c r="Y962" s="5"/>
      <c r="Z962" s="5"/>
      <c r="AA962" s="5"/>
      <c r="AB962" s="5"/>
      <c r="AC962" s="5"/>
      <c r="AD962" s="46"/>
      <c r="AE962" s="1769"/>
      <c r="AF962" s="1770"/>
      <c r="AG962" s="1770"/>
      <c r="AH962" s="1770"/>
      <c r="AI962" s="1770"/>
      <c r="AJ962" s="1770"/>
      <c r="AK962" s="1771"/>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653"/>
      <c r="N967" s="1654"/>
      <c r="O967" s="1654"/>
      <c r="P967" s="1654"/>
      <c r="Q967" s="1654"/>
      <c r="R967" s="1654"/>
      <c r="S967" s="1655"/>
      <c r="T967" s="66" t="s">
        <v>790</v>
      </c>
      <c r="U967" s="5"/>
      <c r="V967" s="5"/>
      <c r="W967" s="5"/>
      <c r="X967" s="5"/>
      <c r="Y967" s="5"/>
      <c r="Z967" s="46"/>
      <c r="AA967" s="1653"/>
      <c r="AB967" s="1654"/>
      <c r="AC967" s="1654"/>
      <c r="AD967" s="1654"/>
      <c r="AE967" s="1654"/>
      <c r="AF967" s="1654"/>
      <c r="AG967" s="165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653"/>
      <c r="N968" s="1654"/>
      <c r="O968" s="1654"/>
      <c r="P968" s="1654"/>
      <c r="Q968" s="1654"/>
      <c r="R968" s="1654"/>
      <c r="S968" s="1655"/>
      <c r="T968" s="66" t="s">
        <v>789</v>
      </c>
      <c r="U968" s="5"/>
      <c r="V968" s="5"/>
      <c r="W968" s="5"/>
      <c r="X968" s="5"/>
      <c r="Y968" s="5"/>
      <c r="Z968" s="46"/>
      <c r="AA968" s="1653"/>
      <c r="AB968" s="1654"/>
      <c r="AC968" s="1654"/>
      <c r="AD968" s="1654"/>
      <c r="AE968" s="1654"/>
      <c r="AF968" s="1654"/>
      <c r="AG968" s="165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701" t="s">
        <v>591</v>
      </c>
      <c r="N969" s="1702"/>
      <c r="O969" s="1702"/>
      <c r="P969" s="1702"/>
      <c r="Q969" s="1702"/>
      <c r="R969" s="1702"/>
      <c r="S969" s="1703"/>
      <c r="T969" s="45" t="s">
        <v>336</v>
      </c>
      <c r="U969" s="5"/>
      <c r="V969" s="5"/>
      <c r="W969" s="5"/>
      <c r="X969" s="5"/>
      <c r="Y969" s="5"/>
      <c r="Z969" s="46"/>
      <c r="AA969" s="1653"/>
      <c r="AB969" s="1654"/>
      <c r="AC969" s="1654"/>
      <c r="AD969" s="1654"/>
      <c r="AE969" s="1654"/>
      <c r="AF969" s="1654"/>
      <c r="AG969" s="165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653"/>
      <c r="N970" s="1654"/>
      <c r="O970" s="1654"/>
      <c r="P970" s="1654"/>
      <c r="Q970" s="1654"/>
      <c r="R970" s="1654"/>
      <c r="S970" s="1655"/>
      <c r="T970" s="45" t="s">
        <v>337</v>
      </c>
      <c r="U970" s="5"/>
      <c r="V970" s="5"/>
      <c r="W970" s="5"/>
      <c r="X970" s="5"/>
      <c r="Y970" s="5"/>
      <c r="Z970" s="46"/>
      <c r="AA970" s="1653"/>
      <c r="AB970" s="1654"/>
      <c r="AC970" s="1654"/>
      <c r="AD970" s="1654"/>
      <c r="AE970" s="1654"/>
      <c r="AF970" s="1654"/>
      <c r="AG970" s="165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653"/>
      <c r="N971" s="1654"/>
      <c r="O971" s="1654"/>
      <c r="P971" s="1654"/>
      <c r="Q971" s="1654"/>
      <c r="R971" s="1654"/>
      <c r="S971" s="1655"/>
      <c r="T971" s="45" t="s">
        <v>375</v>
      </c>
      <c r="U971" s="5"/>
      <c r="V971" s="5"/>
      <c r="W971" s="5"/>
      <c r="X971" s="5"/>
      <c r="Y971" s="5"/>
      <c r="Z971" s="46"/>
      <c r="AA971" s="1653"/>
      <c r="AB971" s="1654"/>
      <c r="AC971" s="1654"/>
      <c r="AD971" s="1654"/>
      <c r="AE971" s="1654"/>
      <c r="AF971" s="1654"/>
      <c r="AG971" s="165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3" t="s">
        <v>880</v>
      </c>
      <c r="G972" s="42"/>
      <c r="H972" s="42"/>
      <c r="I972" s="42"/>
      <c r="J972" s="42"/>
      <c r="K972" s="42"/>
      <c r="L972" s="58"/>
      <c r="M972" s="1801" t="s">
        <v>306</v>
      </c>
      <c r="N972" s="1802"/>
      <c r="O972" s="1802"/>
      <c r="P972" s="1802"/>
      <c r="Q972" s="1802"/>
      <c r="R972" s="1802"/>
      <c r="S972" s="1803"/>
      <c r="T972" s="1756"/>
      <c r="U972" s="1757"/>
      <c r="V972" s="1757"/>
      <c r="W972" s="1757"/>
      <c r="X972" s="1757"/>
      <c r="Y972" s="1757"/>
      <c r="Z972" s="1758"/>
      <c r="AA972" s="1653"/>
      <c r="AB972" s="1654"/>
      <c r="AC972" s="1654"/>
      <c r="AD972" s="1654"/>
      <c r="AE972" s="1654"/>
      <c r="AF972" s="1654"/>
      <c r="AG972" s="165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653"/>
      <c r="N973" s="1654"/>
      <c r="O973" s="1654"/>
      <c r="P973" s="1654"/>
      <c r="Q973" s="1654"/>
      <c r="R973" s="1654"/>
      <c r="S973" s="1655"/>
      <c r="T973" s="1756"/>
      <c r="U973" s="1757"/>
      <c r="V973" s="1757"/>
      <c r="W973" s="1757"/>
      <c r="X973" s="1757"/>
      <c r="Y973" s="1757"/>
      <c r="Z973" s="1758"/>
      <c r="AA973" s="1653"/>
      <c r="AB973" s="1654"/>
      <c r="AC973" s="1654"/>
      <c r="AD973" s="1654"/>
      <c r="AE973" s="1654"/>
      <c r="AF973" s="1654"/>
      <c r="AG973" s="165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335</v>
      </c>
      <c r="G974" s="42"/>
      <c r="H974" s="42"/>
      <c r="I974" s="42"/>
      <c r="J974" s="42"/>
      <c r="K974" s="42"/>
      <c r="L974" s="42"/>
      <c r="M974" s="42"/>
      <c r="N974" s="42"/>
      <c r="O974" s="1369" t="s">
        <v>669</v>
      </c>
      <c r="P974" s="1371"/>
      <c r="Q974" s="92"/>
      <c r="R974" s="92"/>
      <c r="S974" s="93"/>
      <c r="T974" s="41" t="s">
        <v>169</v>
      </c>
      <c r="U974" s="42"/>
      <c r="V974" s="42"/>
      <c r="W974" s="1804" t="s">
        <v>333</v>
      </c>
      <c r="X974" s="1805"/>
      <c r="Y974" s="1805"/>
      <c r="Z974" s="1805"/>
      <c r="AA974" s="1805"/>
      <c r="AB974" s="1805"/>
      <c r="AC974" s="1805"/>
      <c r="AD974" s="1805"/>
      <c r="AE974" s="1805"/>
      <c r="AF974" s="1805"/>
      <c r="AG974" s="1806"/>
      <c r="AU974" s="68"/>
      <c r="AV974" s="95"/>
      <c r="AW974" s="95"/>
      <c r="AX974" s="95"/>
      <c r="AY974" s="95"/>
      <c r="AZ974" s="34"/>
      <c r="BB974" s="34"/>
      <c r="BC974" s="34"/>
      <c r="BD974" s="34"/>
      <c r="BE974" s="34"/>
      <c r="BF974" s="34"/>
      <c r="BG974" s="34"/>
      <c r="BH974" s="34"/>
      <c r="BI974" s="34"/>
      <c r="BJ974" s="34"/>
      <c r="BK974" s="34"/>
      <c r="BL974" s="34"/>
    </row>
    <row r="975" spans="1:64" ht="13.05" customHeight="1">
      <c r="F975" s="1597" t="s">
        <v>33</v>
      </c>
      <c r="G975" s="1482"/>
      <c r="H975" s="1482"/>
      <c r="I975" s="1482"/>
      <c r="J975" s="1482"/>
      <c r="K975" s="1482"/>
      <c r="L975" s="1482"/>
      <c r="M975" s="1653"/>
      <c r="N975" s="1654"/>
      <c r="O975" s="1654"/>
      <c r="P975" s="1654"/>
      <c r="Q975" s="1654"/>
      <c r="R975" s="1654"/>
      <c r="S975" s="1655"/>
      <c r="T975" s="47"/>
      <c r="U975" s="48"/>
      <c r="V975" s="48"/>
      <c r="W975" s="48"/>
      <c r="X975" s="48"/>
      <c r="Y975" s="48"/>
      <c r="Z975" s="124" t="s">
        <v>134</v>
      </c>
      <c r="AA975" s="1753"/>
      <c r="AB975" s="1754"/>
      <c r="AC975" s="1754"/>
      <c r="AD975" s="1754"/>
      <c r="AE975" s="1754"/>
      <c r="AF975" s="1754"/>
      <c r="AG975" s="1755"/>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05" customHeight="1">
      <c r="AU977" s="68"/>
      <c r="AV977" s="68"/>
      <c r="AW977" s="68"/>
      <c r="AX977" s="68"/>
      <c r="AY977" s="68"/>
      <c r="AZ977" s="14"/>
      <c r="BA977" s="14"/>
      <c r="BB977" s="913"/>
      <c r="BC977" s="913"/>
      <c r="BD977" s="14"/>
      <c r="BE977" s="14"/>
      <c r="BF977" s="14"/>
      <c r="BG977" s="14"/>
      <c r="BH977" s="14"/>
      <c r="BI977" s="14"/>
      <c r="BJ977" s="14"/>
      <c r="BK977" s="14"/>
      <c r="BL977" s="14"/>
    </row>
    <row r="978" spans="1:64" ht="13.05" customHeight="1">
      <c r="AU978" s="68"/>
      <c r="AV978" s="68"/>
      <c r="AW978" s="68"/>
      <c r="AX978" s="68"/>
      <c r="AY978" s="68"/>
      <c r="AZ978" s="14"/>
      <c r="BA978" s="14"/>
      <c r="BB978" s="913"/>
      <c r="BC978" s="913"/>
    </row>
    <row r="979" spans="1:64" ht="13.05" customHeight="1">
      <c r="A979" s="1531" t="s">
        <v>548</v>
      </c>
      <c r="B979" s="1531"/>
      <c r="C979" s="1531"/>
      <c r="D979" s="1531"/>
      <c r="E979" s="1531"/>
      <c r="F979" s="1531"/>
      <c r="G979" s="1531"/>
      <c r="H979" s="1531"/>
      <c r="I979" s="1531"/>
      <c r="J979" s="1531"/>
      <c r="K979" s="1531"/>
      <c r="L979" s="1531"/>
      <c r="M979" s="1531"/>
      <c r="N979" s="1531"/>
      <c r="O979" s="1531"/>
      <c r="P979" s="1531"/>
      <c r="Q979" s="1531"/>
      <c r="R979" s="1531"/>
      <c r="S979" s="1531"/>
      <c r="T979" s="1531"/>
      <c r="U979" s="1531"/>
      <c r="V979" s="1531"/>
      <c r="W979" s="1531"/>
      <c r="X979" s="1531"/>
      <c r="Y979" s="1531"/>
      <c r="Z979" s="1531"/>
      <c r="AA979" s="1531"/>
      <c r="AB979" s="1531"/>
      <c r="AC979" s="1531"/>
      <c r="AD979" s="1531"/>
      <c r="AE979" s="1531"/>
      <c r="AF979" s="1531"/>
      <c r="AG979" s="1531"/>
      <c r="AH979" s="1531"/>
      <c r="AI979" s="1531"/>
      <c r="AJ979" s="1531"/>
      <c r="AK979" s="1531"/>
      <c r="AL979" s="1531"/>
      <c r="AM979" s="1531"/>
      <c r="AN979" s="1531"/>
      <c r="AO979" s="1531"/>
      <c r="AP979" s="1531"/>
      <c r="AQ979" s="1531"/>
      <c r="AR979" s="1531"/>
      <c r="AS979" s="1531"/>
      <c r="AT979" s="1531"/>
      <c r="AU979" s="68"/>
      <c r="AV979" s="68"/>
      <c r="AW979" s="68"/>
      <c r="AX979" s="68"/>
      <c r="AY979" s="68"/>
      <c r="AZ979" s="14"/>
      <c r="BA979" s="14"/>
      <c r="BB979" s="913"/>
      <c r="BC979" s="913"/>
    </row>
    <row r="980" spans="1:64" ht="13.05" customHeight="1">
      <c r="A980" s="1531"/>
      <c r="B980" s="1531"/>
      <c r="C980" s="1531"/>
      <c r="D980" s="1531"/>
      <c r="E980" s="1531"/>
      <c r="F980" s="1531"/>
      <c r="G980" s="1531"/>
      <c r="H980" s="1531"/>
      <c r="I980" s="1531"/>
      <c r="J980" s="1531"/>
      <c r="K980" s="1531"/>
      <c r="L980" s="1531"/>
      <c r="M980" s="1531"/>
      <c r="N980" s="1531"/>
      <c r="O980" s="1531"/>
      <c r="P980" s="1531"/>
      <c r="Q980" s="1531"/>
      <c r="R980" s="1531"/>
      <c r="S980" s="1531"/>
      <c r="T980" s="1531"/>
      <c r="U980" s="1531"/>
      <c r="V980" s="1531"/>
      <c r="W980" s="1531"/>
      <c r="X980" s="1531"/>
      <c r="Y980" s="1531"/>
      <c r="Z980" s="1531"/>
      <c r="AA980" s="1531"/>
      <c r="AB980" s="1531"/>
      <c r="AC980" s="1531"/>
      <c r="AD980" s="1531"/>
      <c r="AE980" s="1531"/>
      <c r="AF980" s="1531"/>
      <c r="AG980" s="1531"/>
      <c r="AH980" s="1531"/>
      <c r="AI980" s="1531"/>
      <c r="AJ980" s="1531"/>
      <c r="AK980" s="1531"/>
      <c r="AL980" s="1531"/>
      <c r="AM980" s="1531"/>
      <c r="AN980" s="1531"/>
      <c r="AO980" s="1531"/>
      <c r="AP980" s="1531"/>
      <c r="AQ980" s="1531"/>
      <c r="AR980" s="1531"/>
      <c r="AS980" s="1531"/>
      <c r="AT980" s="1531"/>
      <c r="AU980" s="68"/>
      <c r="AV980" s="68"/>
      <c r="AW980" s="68"/>
      <c r="AX980" s="68"/>
      <c r="AY980" s="68"/>
      <c r="AZ980" s="30"/>
      <c r="BA980" s="14"/>
      <c r="BB980" s="14"/>
      <c r="BC980" s="14"/>
    </row>
    <row r="981" spans="1:64" ht="13.05" customHeight="1">
      <c r="A981" s="1531"/>
      <c r="B981" s="1531"/>
      <c r="C981" s="1531"/>
      <c r="D981" s="1531"/>
      <c r="E981" s="1531"/>
      <c r="F981" s="1531"/>
      <c r="G981" s="1531"/>
      <c r="H981" s="1531"/>
      <c r="I981" s="1531"/>
      <c r="J981" s="1531"/>
      <c r="K981" s="1531"/>
      <c r="L981" s="1531"/>
      <c r="M981" s="1531"/>
      <c r="N981" s="1531"/>
      <c r="O981" s="1531"/>
      <c r="P981" s="1531"/>
      <c r="Q981" s="1531"/>
      <c r="R981" s="1531"/>
      <c r="S981" s="1531"/>
      <c r="T981" s="1531"/>
      <c r="U981" s="1531"/>
      <c r="V981" s="1531"/>
      <c r="W981" s="1531"/>
      <c r="X981" s="1531"/>
      <c r="Y981" s="1531"/>
      <c r="Z981" s="1531"/>
      <c r="AA981" s="1531"/>
      <c r="AB981" s="1531"/>
      <c r="AC981" s="1531"/>
      <c r="AD981" s="1531"/>
      <c r="AE981" s="1531"/>
      <c r="AF981" s="1531"/>
      <c r="AG981" s="1531"/>
      <c r="AH981" s="1531"/>
      <c r="AI981" s="1531"/>
      <c r="AJ981" s="1531"/>
      <c r="AK981" s="1531"/>
      <c r="AL981" s="1531"/>
      <c r="AM981" s="1531"/>
      <c r="AN981" s="1531"/>
      <c r="AO981" s="1531"/>
      <c r="AP981" s="1531"/>
      <c r="AQ981" s="1531"/>
      <c r="AR981" s="1531"/>
      <c r="AS981" s="1531"/>
      <c r="AT981" s="1531"/>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9"/>
      <c r="D985" s="1784" t="s">
        <v>638</v>
      </c>
      <c r="E985" s="1785"/>
      <c r="F985" s="1785"/>
      <c r="G985" s="1785"/>
      <c r="H985" s="1785"/>
      <c r="I985" s="1785"/>
      <c r="J985" s="1785"/>
      <c r="K985" s="1785"/>
      <c r="L985" s="1785"/>
      <c r="M985" s="1785"/>
      <c r="N985" s="1785"/>
      <c r="O985" s="1785"/>
      <c r="P985" s="1785"/>
      <c r="Q985" s="1786"/>
      <c r="R985" s="1784" t="s">
        <v>639</v>
      </c>
      <c r="S985" s="1785"/>
      <c r="T985" s="1785"/>
      <c r="U985" s="1785"/>
      <c r="V985" s="1785"/>
      <c r="W985" s="1785"/>
      <c r="X985" s="1785"/>
      <c r="Y985" s="1785"/>
      <c r="Z985" s="1785"/>
      <c r="AA985" s="1786"/>
      <c r="AB985" s="1784" t="s">
        <v>640</v>
      </c>
      <c r="AC985" s="1785"/>
      <c r="AD985" s="1785"/>
      <c r="AE985" s="1785"/>
      <c r="AF985" s="1785"/>
      <c r="AG985" s="1785"/>
      <c r="AH985" s="1785"/>
      <c r="AI985" s="1786"/>
      <c r="AJ985" s="1784" t="s">
        <v>641</v>
      </c>
      <c r="AK985" s="1785"/>
      <c r="AL985" s="1785"/>
      <c r="AM985" s="1785"/>
      <c r="AN985" s="1785"/>
      <c r="AO985" s="1785"/>
      <c r="AP985" s="1785"/>
      <c r="AQ985" s="1786"/>
      <c r="AR985" s="68"/>
      <c r="AS985" s="68"/>
      <c r="AT985" s="68"/>
      <c r="AU985" s="68"/>
      <c r="AV985" s="68"/>
      <c r="AW985" s="68"/>
      <c r="AX985" s="68"/>
      <c r="AY985" s="68"/>
      <c r="AZ985" s="30"/>
      <c r="BB985" s="14"/>
      <c r="BC985" s="14"/>
    </row>
    <row r="986" spans="1:64" ht="13.05" customHeight="1">
      <c r="A986" s="14"/>
      <c r="B986" s="73"/>
      <c r="C986" s="930"/>
      <c r="D986" s="1790" t="s">
        <v>633</v>
      </c>
      <c r="E986" s="1791"/>
      <c r="F986" s="1791"/>
      <c r="G986" s="1791"/>
      <c r="H986" s="1791"/>
      <c r="I986" s="1791"/>
      <c r="J986" s="1791"/>
      <c r="K986" s="1791"/>
      <c r="L986" s="1791"/>
      <c r="M986" s="1791"/>
      <c r="N986" s="1791"/>
      <c r="O986" s="1791"/>
      <c r="P986" s="1791"/>
      <c r="Q986" s="1792"/>
      <c r="R986" s="1777">
        <f>IF(ISNA(IF($CU$122="4%",(INDEX($CS$160:$CW$217,MATCH($DG$122,$CR$160:$CR$217,0),MATCH(D986,$CS$159:$CW$159,0))),(INDEX($CZ$160:$DD$217,MATCH($DG$122,$CY$160:$CY$217,0),MATCH(D986,$CZ$159:$DD$159,0))))),0,IF($CU$122="4%",(INDEX($CS$160:$CW$217,MATCH($DG$122,$CR$160:$CR$217,0),MATCH(D986,$CS$159:$CW$159,0))),(INDEX($CZ$160:$DD$217,MATCH($DG$122,$CY$160:$CY$217,0),MATCH(D986,$CZ$159:$DD$159,0)))))</f>
        <v>437727</v>
      </c>
      <c r="S986" s="1777"/>
      <c r="T986" s="1777"/>
      <c r="U986" s="1777"/>
      <c r="V986" s="1777"/>
      <c r="W986" s="1777"/>
      <c r="X986" s="1777"/>
      <c r="Y986" s="1777"/>
      <c r="Z986" s="1777"/>
      <c r="AA986" s="1777"/>
      <c r="AB986" s="1774">
        <f>CP802</f>
        <v>0</v>
      </c>
      <c r="AC986" s="1775"/>
      <c r="AD986" s="1775"/>
      <c r="AE986" s="1775"/>
      <c r="AF986" s="1775"/>
      <c r="AG986" s="1775"/>
      <c r="AH986" s="1775"/>
      <c r="AI986" s="1776"/>
      <c r="AJ986" s="1710">
        <f>IF(ISERROR((R986*AB986)),0,(R986*AB986))</f>
        <v>0</v>
      </c>
      <c r="AK986" s="1711"/>
      <c r="AL986" s="1711"/>
      <c r="AM986" s="1711"/>
      <c r="AN986" s="1711"/>
      <c r="AO986" s="1711"/>
      <c r="AP986" s="1711"/>
      <c r="AQ986" s="1712"/>
      <c r="AR986" s="68"/>
      <c r="AS986" s="68"/>
      <c r="AT986" s="68"/>
      <c r="AU986" s="68"/>
      <c r="AV986" s="68"/>
      <c r="AW986" s="68"/>
      <c r="AX986" s="68"/>
      <c r="AY986" s="68"/>
      <c r="AZ986" s="30"/>
      <c r="BB986" s="14"/>
      <c r="BC986" s="14"/>
    </row>
    <row r="987" spans="1:64" ht="13.05" customHeight="1">
      <c r="A987" s="14"/>
      <c r="B987" s="73"/>
      <c r="C987" s="83"/>
      <c r="D987" s="1790" t="s">
        <v>324</v>
      </c>
      <c r="E987" s="1791"/>
      <c r="F987" s="1791"/>
      <c r="G987" s="1791"/>
      <c r="H987" s="1791"/>
      <c r="I987" s="1791"/>
      <c r="J987" s="1791"/>
      <c r="K987" s="1791"/>
      <c r="L987" s="1791"/>
      <c r="M987" s="1791"/>
      <c r="N987" s="1791"/>
      <c r="O987" s="1791"/>
      <c r="P987" s="1791"/>
      <c r="Q987" s="1792"/>
      <c r="R987" s="1777">
        <f>IF(ISNA(IF($CU$122="4%",(INDEX($CS$160:$CW$217,MATCH($DG$122,$CR$160:$CR$217,0),MATCH(D987,$CS$159:$CW$159,0))),(INDEX($CZ$160:$DD$217,MATCH($DG$122,$CY$160:$CY$217,0),MATCH(D987,$CZ$159:$DD$159,0))))),0,IF($CU$122="4%",(INDEX($CS$160:$CW$217,MATCH($DG$122,$CR$160:$CR$217,0),MATCH(D987,$CS$159:$CW$159,0))),(INDEX($CZ$160:$DD$217,MATCH($DG$122,$CY$160:$CY$217,0),MATCH(D987,$CZ$159:$DD$159,0)))))</f>
        <v>504695</v>
      </c>
      <c r="S987" s="1777"/>
      <c r="T987" s="1777"/>
      <c r="U987" s="1777"/>
      <c r="V987" s="1777"/>
      <c r="W987" s="1777"/>
      <c r="X987" s="1777"/>
      <c r="Y987" s="1777"/>
      <c r="Z987" s="1777"/>
      <c r="AA987" s="1777"/>
      <c r="AB987" s="1774">
        <f>CU802</f>
        <v>63</v>
      </c>
      <c r="AC987" s="1775"/>
      <c r="AD987" s="1775"/>
      <c r="AE987" s="1775"/>
      <c r="AF987" s="1775"/>
      <c r="AG987" s="1775"/>
      <c r="AH987" s="1775"/>
      <c r="AI987" s="1776"/>
      <c r="AJ987" s="1710">
        <f>IF(ISERROR((R987*AB987)),0,(R987*AB987))</f>
        <v>31795785</v>
      </c>
      <c r="AK987" s="1711"/>
      <c r="AL987" s="1711"/>
      <c r="AM987" s="1711"/>
      <c r="AN987" s="1711"/>
      <c r="AO987" s="1711"/>
      <c r="AP987" s="1711"/>
      <c r="AQ987" s="1712"/>
      <c r="AR987" s="68"/>
      <c r="AS987" s="68"/>
      <c r="AT987" s="68"/>
      <c r="AU987" s="68"/>
      <c r="AV987" s="68"/>
      <c r="AW987" s="68"/>
      <c r="AX987" s="68"/>
      <c r="AY987" s="68"/>
      <c r="AZ987" s="30"/>
      <c r="BB987" s="14"/>
      <c r="BC987" s="14"/>
    </row>
    <row r="988" spans="1:64" ht="13.05" customHeight="1">
      <c r="A988" s="14"/>
      <c r="B988" s="73"/>
      <c r="C988" s="83"/>
      <c r="D988" s="1790" t="s">
        <v>163</v>
      </c>
      <c r="E988" s="1791"/>
      <c r="F988" s="1791"/>
      <c r="G988" s="1791"/>
      <c r="H988" s="1791"/>
      <c r="I988" s="1791"/>
      <c r="J988" s="1791"/>
      <c r="K988" s="1791"/>
      <c r="L988" s="1791"/>
      <c r="M988" s="1791"/>
      <c r="N988" s="1791"/>
      <c r="O988" s="1791"/>
      <c r="P988" s="1791"/>
      <c r="Q988" s="1792"/>
      <c r="R988" s="1777">
        <f>IF(ISNA(IF($CU$122="4%",(INDEX($CS$160:$CW$217,MATCH($DG$122,$CR$160:$CR$217,0),MATCH(D988,$CS$159:$CW$159,0))),(INDEX($CZ$160:$DD$217,MATCH($DG$122,$CY$160:$CY$217,0),MATCH(D988,$CZ$159:$DD$159,0))))),0,IF($CU$122="4%",(INDEX($CS$160:$CW$217,MATCH($DG$122,$CR$160:$CR$217,0),MATCH(D988,$CS$159:$CW$159,0))),(INDEX($CZ$160:$DD$217,MATCH($DG$122,$CY$160:$CY$217,0),MATCH(D988,$CZ$159:$DD$159,0)))))</f>
        <v>608800</v>
      </c>
      <c r="S988" s="1777"/>
      <c r="T988" s="1777"/>
      <c r="U988" s="1777"/>
      <c r="V988" s="1777"/>
      <c r="W988" s="1777"/>
      <c r="X988" s="1777"/>
      <c r="Y988" s="1777"/>
      <c r="Z988" s="1777"/>
      <c r="AA988" s="1777"/>
      <c r="AB988" s="1774">
        <f>CZ802</f>
        <v>1</v>
      </c>
      <c r="AC988" s="1775"/>
      <c r="AD988" s="1775"/>
      <c r="AE988" s="1775"/>
      <c r="AF988" s="1775"/>
      <c r="AG988" s="1775"/>
      <c r="AH988" s="1775"/>
      <c r="AI988" s="1776"/>
      <c r="AJ988" s="1710">
        <f>IF(ISERROR((R988*AB988)),0,(R988*AB988))</f>
        <v>608800</v>
      </c>
      <c r="AK988" s="1711"/>
      <c r="AL988" s="1711"/>
      <c r="AM988" s="1711"/>
      <c r="AN988" s="1711"/>
      <c r="AO988" s="1711"/>
      <c r="AP988" s="1711"/>
      <c r="AQ988" s="1712"/>
      <c r="AR988" s="68"/>
      <c r="AS988" s="68"/>
      <c r="AT988" s="68"/>
      <c r="AU988" s="68"/>
      <c r="AV988" s="68"/>
      <c r="AW988" s="68"/>
      <c r="AX988" s="68"/>
      <c r="AY988" s="68"/>
      <c r="AZ988" s="30"/>
      <c r="BB988" s="14"/>
      <c r="BC988" s="14"/>
    </row>
    <row r="989" spans="1:64" ht="13.05" customHeight="1">
      <c r="A989" s="14"/>
      <c r="B989" s="73"/>
      <c r="C989" s="83"/>
      <c r="D989" s="1790" t="s">
        <v>164</v>
      </c>
      <c r="E989" s="1791"/>
      <c r="F989" s="1791"/>
      <c r="G989" s="1791"/>
      <c r="H989" s="1791"/>
      <c r="I989" s="1791"/>
      <c r="J989" s="1791"/>
      <c r="K989" s="1791"/>
      <c r="L989" s="1791"/>
      <c r="M989" s="1791"/>
      <c r="N989" s="1791"/>
      <c r="O989" s="1791"/>
      <c r="P989" s="1791"/>
      <c r="Q989" s="1792"/>
      <c r="R989" s="1777">
        <f>IF(ISNA(IF($CU$122="4%",(INDEX($CS$160:$CW$217,MATCH($DG$122,$CR$160:$CR$217,0),MATCH(D989,$CS$159:$CW$159,0))),(INDEX($CZ$160:$DD$217,MATCH($DG$122,$CY$160:$CY$217,0),MATCH(D989,$CZ$159:$DD$159,0))))),0,IF($CU$122="4%",(INDEX($CS$160:$CW$217,MATCH($DG$122,$CR$160:$CR$217,0),MATCH(D989,$CS$159:$CW$159,0))),(INDEX($CZ$160:$DD$217,MATCH($DG$122,$CY$160:$CY$217,0),MATCH(D989,$CZ$159:$DD$159,0)))))</f>
        <v>779264</v>
      </c>
      <c r="S989" s="1777"/>
      <c r="T989" s="1777"/>
      <c r="U989" s="1777"/>
      <c r="V989" s="1777"/>
      <c r="W989" s="1777"/>
      <c r="X989" s="1777"/>
      <c r="Y989" s="1777"/>
      <c r="Z989" s="1777"/>
      <c r="AA989" s="1777"/>
      <c r="AB989" s="1774">
        <f>DE802</f>
        <v>0</v>
      </c>
      <c r="AC989" s="1775"/>
      <c r="AD989" s="1775"/>
      <c r="AE989" s="1775"/>
      <c r="AF989" s="1775"/>
      <c r="AG989" s="1775"/>
      <c r="AH989" s="1775"/>
      <c r="AI989" s="1776"/>
      <c r="AJ989" s="1710">
        <f>IF(ISERROR((R989*AB989)),0,(R989*AB989))</f>
        <v>0</v>
      </c>
      <c r="AK989" s="1711"/>
      <c r="AL989" s="1711"/>
      <c r="AM989" s="1711"/>
      <c r="AN989" s="1711"/>
      <c r="AO989" s="1711"/>
      <c r="AP989" s="1711"/>
      <c r="AQ989" s="1712"/>
      <c r="AR989" s="68"/>
      <c r="AS989" s="68"/>
      <c r="AT989" s="68"/>
      <c r="AU989" s="68"/>
      <c r="AV989" s="68"/>
      <c r="AW989" s="68"/>
      <c r="AX989" s="68"/>
      <c r="AY989" s="68"/>
      <c r="AZ989" s="30"/>
      <c r="BA989" s="34"/>
      <c r="BB989" s="14"/>
      <c r="BC989" s="14"/>
    </row>
    <row r="990" spans="1:64" ht="13.05" customHeight="1">
      <c r="A990" s="14"/>
      <c r="B990" s="47"/>
      <c r="C990" s="78"/>
      <c r="D990" s="1790" t="s">
        <v>460</v>
      </c>
      <c r="E990" s="1791"/>
      <c r="F990" s="1791"/>
      <c r="G990" s="1791"/>
      <c r="H990" s="1791"/>
      <c r="I990" s="1791"/>
      <c r="J990" s="1791"/>
      <c r="K990" s="1791"/>
      <c r="L990" s="1791"/>
      <c r="M990" s="1791"/>
      <c r="N990" s="1791"/>
      <c r="O990" s="1791"/>
      <c r="P990" s="1791"/>
      <c r="Q990" s="1792"/>
      <c r="R990" s="1777">
        <f>IF(ISNA(IF($CU$122="4%",(INDEX($CS$160:$CW$217,MATCH($DG$122,$CR$160:$CR$217,0),MATCH(D990,$CS$159:$CW$159,0))),(INDEX($CZ$160:$DD$217,MATCH($DG$122,$CY$160:$CY$217,0),MATCH(D990,$CZ$159:$DD$159,0))))),0,IF($CU$122="4%",(INDEX($CS$160:$CW$217,MATCH($DG$122,$CR$160:$CR$217,0),MATCH(D990,$CS$159:$CW$159,0))),(INDEX($CZ$160:$DD$217,MATCH($DG$122,$CY$160:$CY$217,0),MATCH(D990,$CZ$159:$DD$159,0)))))</f>
        <v>868149</v>
      </c>
      <c r="S990" s="1777"/>
      <c r="T990" s="1777"/>
      <c r="U990" s="1777"/>
      <c r="V990" s="1777"/>
      <c r="W990" s="1777"/>
      <c r="X990" s="1777"/>
      <c r="Y990" s="1777"/>
      <c r="Z990" s="1777"/>
      <c r="AA990" s="1777"/>
      <c r="AB990" s="1774">
        <f>DO802+DJ802</f>
        <v>0</v>
      </c>
      <c r="AC990" s="1775"/>
      <c r="AD990" s="1775"/>
      <c r="AE990" s="1775"/>
      <c r="AF990" s="1775"/>
      <c r="AG990" s="1775"/>
      <c r="AH990" s="1775"/>
      <c r="AI990" s="1776"/>
      <c r="AJ990" s="1710">
        <f>IF(ISERROR((R990*AB990)),0,(R990*AB990))</f>
        <v>0</v>
      </c>
      <c r="AK990" s="1711"/>
      <c r="AL990" s="1711"/>
      <c r="AM990" s="1711"/>
      <c r="AN990" s="1711"/>
      <c r="AO990" s="1711"/>
      <c r="AP990" s="1711"/>
      <c r="AQ990" s="1712"/>
      <c r="AR990" s="68"/>
      <c r="AS990" s="68"/>
      <c r="AT990" s="68"/>
      <c r="AU990" s="68"/>
      <c r="AV990" s="68"/>
      <c r="AW990" s="68"/>
      <c r="AX990" s="68"/>
      <c r="AY990" s="68"/>
      <c r="AZ990" s="30"/>
      <c r="BB990" s="14"/>
      <c r="BC990" s="14"/>
    </row>
    <row r="991" spans="1:64" ht="13.05" customHeight="1">
      <c r="A991" s="14"/>
      <c r="B991" s="1731" t="s">
        <v>791</v>
      </c>
      <c r="C991" s="1732"/>
      <c r="D991" s="1732"/>
      <c r="E991" s="1732"/>
      <c r="F991" s="1732"/>
      <c r="G991" s="1732"/>
      <c r="H991" s="1732"/>
      <c r="I991" s="1732"/>
      <c r="J991" s="1732"/>
      <c r="K991" s="1732"/>
      <c r="L991" s="1732"/>
      <c r="M991" s="1732"/>
      <c r="N991" s="1732"/>
      <c r="O991" s="1732"/>
      <c r="P991" s="1732"/>
      <c r="Q991" s="1732"/>
      <c r="R991" s="1732"/>
      <c r="S991" s="1732"/>
      <c r="T991" s="1732"/>
      <c r="U991" s="1732"/>
      <c r="V991" s="1732"/>
      <c r="W991" s="1732"/>
      <c r="X991" s="1732"/>
      <c r="Y991" s="1732"/>
      <c r="Z991" s="1732"/>
      <c r="AA991" s="1733"/>
      <c r="AB991" s="1774">
        <f>SUM(AB986:AI990)</f>
        <v>64</v>
      </c>
      <c r="AC991" s="1775"/>
      <c r="AD991" s="1775"/>
      <c r="AE991" s="1775"/>
      <c r="AF991" s="1775"/>
      <c r="AG991" s="1775"/>
      <c r="AH991" s="1775"/>
      <c r="AI991" s="1776"/>
      <c r="AJ991" s="1710"/>
      <c r="AK991" s="1711"/>
      <c r="AL991" s="1711"/>
      <c r="AM991" s="1711"/>
      <c r="AN991" s="1711"/>
      <c r="AO991" s="1711"/>
      <c r="AP991" s="1711"/>
      <c r="AQ991" s="1712"/>
      <c r="AR991" s="68"/>
      <c r="AS991" s="68"/>
      <c r="AT991" s="68"/>
      <c r="AU991" s="68"/>
      <c r="AV991" s="68"/>
      <c r="AW991" s="68"/>
      <c r="AX991" s="68"/>
      <c r="AY991" s="68"/>
      <c r="AZ991" s="34"/>
      <c r="BA991" s="34"/>
      <c r="BB991" s="14"/>
      <c r="BC991" s="14"/>
    </row>
    <row r="992" spans="1:64" ht="13.05" customHeight="1">
      <c r="A992" s="14"/>
      <c r="B992" s="1787" t="s">
        <v>512</v>
      </c>
      <c r="C992" s="1788"/>
      <c r="D992" s="1788"/>
      <c r="E992" s="1788"/>
      <c r="F992" s="1788"/>
      <c r="G992" s="1788"/>
      <c r="H992" s="1788"/>
      <c r="I992" s="1788"/>
      <c r="J992" s="1788"/>
      <c r="K992" s="1788"/>
      <c r="L992" s="1788"/>
      <c r="M992" s="1788"/>
      <c r="N992" s="1788"/>
      <c r="O992" s="1788"/>
      <c r="P992" s="1788"/>
      <c r="Q992" s="1788"/>
      <c r="R992" s="1788"/>
      <c r="S992" s="1788"/>
      <c r="T992" s="1788"/>
      <c r="U992" s="1788"/>
      <c r="V992" s="1788"/>
      <c r="W992" s="1788"/>
      <c r="X992" s="1788"/>
      <c r="Y992" s="1788"/>
      <c r="Z992" s="1788"/>
      <c r="AA992" s="1788"/>
      <c r="AB992" s="1788"/>
      <c r="AC992" s="1788"/>
      <c r="AD992" s="1788"/>
      <c r="AE992" s="1788"/>
      <c r="AF992" s="1788"/>
      <c r="AG992" s="1788"/>
      <c r="AH992" s="1788"/>
      <c r="AI992" s="1789"/>
      <c r="AJ992" s="1710">
        <f>SUM(AJ986:AQ990)</f>
        <v>32404585</v>
      </c>
      <c r="AK992" s="1711"/>
      <c r="AL992" s="1711"/>
      <c r="AM992" s="1711"/>
      <c r="AN992" s="1711"/>
      <c r="AO992" s="1711"/>
      <c r="AP992" s="1711"/>
      <c r="AQ992" s="1712"/>
      <c r="AR992" s="68"/>
      <c r="AS992" s="68"/>
      <c r="AT992" s="68"/>
      <c r="AU992" s="68"/>
      <c r="AV992" s="68"/>
      <c r="AW992" s="68"/>
      <c r="AX992" s="68"/>
      <c r="AY992" s="68"/>
      <c r="AZ992" s="34"/>
      <c r="BB992" s="34"/>
      <c r="BC992" s="34"/>
    </row>
    <row r="993" spans="1:55" ht="13.05" customHeight="1">
      <c r="A993" s="14"/>
      <c r="B993" s="1740"/>
      <c r="C993" s="1741"/>
      <c r="D993" s="1741"/>
      <c r="E993" s="1741"/>
      <c r="F993" s="1741"/>
      <c r="G993" s="1741"/>
      <c r="H993" s="1741"/>
      <c r="I993" s="1741"/>
      <c r="J993" s="1741"/>
      <c r="K993" s="1741"/>
      <c r="L993" s="1741"/>
      <c r="M993" s="1741"/>
      <c r="N993" s="1741"/>
      <c r="O993" s="1741"/>
      <c r="P993" s="1741"/>
      <c r="Q993" s="1741"/>
      <c r="R993" s="1741"/>
      <c r="S993" s="1741"/>
      <c r="T993" s="1741"/>
      <c r="U993" s="1741"/>
      <c r="V993" s="1741"/>
      <c r="W993" s="1741"/>
      <c r="X993" s="1741"/>
      <c r="Y993" s="1741"/>
      <c r="Z993" s="1741"/>
      <c r="AA993" s="1741"/>
      <c r="AB993" s="1741"/>
      <c r="AC993" s="1741"/>
      <c r="AD993" s="1741"/>
      <c r="AE993" s="1742"/>
      <c r="AF993" s="1819" t="s">
        <v>666</v>
      </c>
      <c r="AG993" s="1820"/>
      <c r="AH993" s="1820"/>
      <c r="AI993" s="1821"/>
      <c r="AJ993" s="1740"/>
      <c r="AK993" s="1741"/>
      <c r="AL993" s="1741"/>
      <c r="AM993" s="1741"/>
      <c r="AN993" s="1741"/>
      <c r="AO993" s="1741"/>
      <c r="AP993" s="1741"/>
      <c r="AQ993" s="1742"/>
      <c r="AR993" s="68"/>
      <c r="AS993" s="68"/>
      <c r="AT993" s="68"/>
      <c r="AU993" s="68"/>
      <c r="AV993" s="68"/>
      <c r="AW993" s="68"/>
      <c r="AX993" s="68"/>
      <c r="AY993" s="68"/>
      <c r="AZ993" s="34"/>
      <c r="BA993" s="34"/>
      <c r="BB993" s="34"/>
      <c r="BC993" s="34"/>
    </row>
    <row r="994" spans="1:55" ht="13.05" customHeight="1">
      <c r="A994" s="14"/>
      <c r="B994" s="73"/>
      <c r="C994" s="928" t="s">
        <v>668</v>
      </c>
      <c r="D994" s="1728" t="s">
        <v>1220</v>
      </c>
      <c r="E994" s="1729"/>
      <c r="F994" s="1729"/>
      <c r="G994" s="1729"/>
      <c r="H994" s="1729"/>
      <c r="I994" s="1729"/>
      <c r="J994" s="1729"/>
      <c r="K994" s="1729"/>
      <c r="L994" s="1729"/>
      <c r="M994" s="1729"/>
      <c r="N994" s="1729"/>
      <c r="O994" s="1729"/>
      <c r="P994" s="1729"/>
      <c r="Q994" s="1729"/>
      <c r="R994" s="1729"/>
      <c r="S994" s="1729"/>
      <c r="T994" s="1729"/>
      <c r="U994" s="1729"/>
      <c r="V994" s="1729"/>
      <c r="W994" s="1729"/>
      <c r="X994" s="1729"/>
      <c r="Y994" s="1729"/>
      <c r="Z994" s="1729"/>
      <c r="AA994" s="1729"/>
      <c r="AB994" s="1729"/>
      <c r="AC994" s="1729"/>
      <c r="AD994" s="1729"/>
      <c r="AE994" s="1730"/>
      <c r="AF994" s="79"/>
      <c r="AG994" s="1822" t="s">
        <v>545</v>
      </c>
      <c r="AH994" s="1823"/>
      <c r="AI994" s="87"/>
      <c r="AJ994" s="1719">
        <f>ROUND(IF(AND(AG994="yes",D1000&gt;0),AJ992*0.2,0),0)</f>
        <v>6480917</v>
      </c>
      <c r="AK994" s="1720"/>
      <c r="AL994" s="1720"/>
      <c r="AM994" s="1720"/>
      <c r="AN994" s="1720"/>
      <c r="AO994" s="1720"/>
      <c r="AP994" s="1720"/>
      <c r="AQ994" s="1721"/>
      <c r="AR994" s="68"/>
      <c r="AS994" s="68"/>
      <c r="AT994" s="68"/>
      <c r="AU994" s="68"/>
      <c r="AV994" s="68"/>
      <c r="AW994" s="68"/>
      <c r="AX994" s="68"/>
      <c r="AY994" s="68"/>
      <c r="AZ994" s="34"/>
      <c r="BA994" s="34"/>
      <c r="BB994" s="34"/>
      <c r="BC994" s="34"/>
    </row>
    <row r="995" spans="1:55" ht="13.05" customHeight="1">
      <c r="A995" s="14"/>
      <c r="B995" s="258"/>
      <c r="C995" s="257"/>
      <c r="D995" s="1762" t="s">
        <v>2238</v>
      </c>
      <c r="E995" s="1763"/>
      <c r="F995" s="1763"/>
      <c r="G995" s="1763"/>
      <c r="H995" s="1763"/>
      <c r="I995" s="1763"/>
      <c r="J995" s="1763"/>
      <c r="K995" s="1763"/>
      <c r="L995" s="1763"/>
      <c r="M995" s="1763"/>
      <c r="N995" s="1763"/>
      <c r="O995" s="1763"/>
      <c r="P995" s="1763"/>
      <c r="Q995" s="1763"/>
      <c r="R995" s="1763"/>
      <c r="S995" s="1763"/>
      <c r="T995" s="1763"/>
      <c r="U995" s="1763"/>
      <c r="V995" s="1763"/>
      <c r="W995" s="1763"/>
      <c r="X995" s="1763"/>
      <c r="Y995" s="1763"/>
      <c r="Z995" s="1763"/>
      <c r="AA995" s="1763"/>
      <c r="AB995" s="1763"/>
      <c r="AC995" s="1763"/>
      <c r="AD995" s="1763"/>
      <c r="AE995" s="1764"/>
      <c r="AF995" s="73"/>
      <c r="AG995" s="14"/>
      <c r="AH995" s="14"/>
      <c r="AI995" s="83"/>
      <c r="AJ995" s="1722"/>
      <c r="AK995" s="1723"/>
      <c r="AL995" s="1723"/>
      <c r="AM995" s="1723"/>
      <c r="AN995" s="1723"/>
      <c r="AO995" s="1723"/>
      <c r="AP995" s="1723"/>
      <c r="AQ995" s="1724"/>
      <c r="AR995" s="68"/>
      <c r="AS995" s="68"/>
      <c r="AT995" s="68"/>
      <c r="AU995" s="68"/>
      <c r="AV995" s="68"/>
      <c r="AW995" s="68"/>
      <c r="AX995" s="68"/>
      <c r="AY995" s="68"/>
      <c r="AZ995" s="34"/>
      <c r="BA995" s="34"/>
      <c r="BB995" s="34"/>
      <c r="BC995" s="34"/>
    </row>
    <row r="996" spans="1:55" ht="13.05" customHeight="1">
      <c r="A996" s="14"/>
      <c r="B996" s="258"/>
      <c r="C996" s="257"/>
      <c r="D996" s="1762"/>
      <c r="E996" s="1763"/>
      <c r="F996" s="1763"/>
      <c r="G996" s="1763"/>
      <c r="H996" s="1763"/>
      <c r="I996" s="1763"/>
      <c r="J996" s="1763"/>
      <c r="K996" s="1763"/>
      <c r="L996" s="1763"/>
      <c r="M996" s="1763"/>
      <c r="N996" s="1763"/>
      <c r="O996" s="1763"/>
      <c r="P996" s="1763"/>
      <c r="Q996" s="1763"/>
      <c r="R996" s="1763"/>
      <c r="S996" s="1763"/>
      <c r="T996" s="1763"/>
      <c r="U996" s="1763"/>
      <c r="V996" s="1763"/>
      <c r="W996" s="1763"/>
      <c r="X996" s="1763"/>
      <c r="Y996" s="1763"/>
      <c r="Z996" s="1763"/>
      <c r="AA996" s="1763"/>
      <c r="AB996" s="1763"/>
      <c r="AC996" s="1763"/>
      <c r="AD996" s="1763"/>
      <c r="AE996" s="1764"/>
      <c r="AF996" s="73"/>
      <c r="AG996" s="14"/>
      <c r="AH996" s="14"/>
      <c r="AI996" s="83"/>
      <c r="AJ996" s="1722"/>
      <c r="AK996" s="1723"/>
      <c r="AL996" s="1723"/>
      <c r="AM996" s="1723"/>
      <c r="AN996" s="1723"/>
      <c r="AO996" s="1723"/>
      <c r="AP996" s="1723"/>
      <c r="AQ996" s="1724"/>
      <c r="AR996" s="68"/>
      <c r="AS996" s="68"/>
      <c r="AT996" s="68"/>
      <c r="AU996" s="68"/>
      <c r="AV996" s="68"/>
      <c r="AW996" s="68"/>
      <c r="AX996" s="68"/>
      <c r="AY996" s="68"/>
      <c r="AZ996" s="34"/>
      <c r="BA996" s="34"/>
      <c r="BB996" s="34"/>
      <c r="BC996" s="34"/>
    </row>
    <row r="997" spans="1:55" ht="13.05" customHeight="1">
      <c r="A997" s="14"/>
      <c r="B997" s="258"/>
      <c r="C997" s="257"/>
      <c r="D997" s="1762"/>
      <c r="E997" s="1763"/>
      <c r="F997" s="1763"/>
      <c r="G997" s="1763"/>
      <c r="H997" s="1763"/>
      <c r="I997" s="1763"/>
      <c r="J997" s="1763"/>
      <c r="K997" s="1763"/>
      <c r="L997" s="1763"/>
      <c r="M997" s="1763"/>
      <c r="N997" s="1763"/>
      <c r="O997" s="1763"/>
      <c r="P997" s="1763"/>
      <c r="Q997" s="1763"/>
      <c r="R997" s="1763"/>
      <c r="S997" s="1763"/>
      <c r="T997" s="1763"/>
      <c r="U997" s="1763"/>
      <c r="V997" s="1763"/>
      <c r="W997" s="1763"/>
      <c r="X997" s="1763"/>
      <c r="Y997" s="1763"/>
      <c r="Z997" s="1763"/>
      <c r="AA997" s="1763"/>
      <c r="AB997" s="1763"/>
      <c r="AC997" s="1763"/>
      <c r="AD997" s="1763"/>
      <c r="AE997" s="1764"/>
      <c r="AF997" s="73"/>
      <c r="AG997" s="14"/>
      <c r="AH997" s="14"/>
      <c r="AI997" s="83"/>
      <c r="AJ997" s="1722"/>
      <c r="AK997" s="1723"/>
      <c r="AL997" s="1723"/>
      <c r="AM997" s="1723"/>
      <c r="AN997" s="1723"/>
      <c r="AO997" s="1723"/>
      <c r="AP997" s="1723"/>
      <c r="AQ997" s="1724"/>
      <c r="AR997" s="68"/>
      <c r="AS997" s="68"/>
      <c r="AT997" s="68"/>
      <c r="AU997" s="68"/>
      <c r="AV997" s="68"/>
      <c r="AW997" s="68"/>
      <c r="AX997" s="68"/>
      <c r="AY997" s="68"/>
      <c r="AZ997" s="34"/>
      <c r="BA997" s="34"/>
      <c r="BB997" s="34"/>
      <c r="BC997" s="34"/>
    </row>
    <row r="998" spans="1:55" ht="13.05" customHeight="1">
      <c r="A998" s="14"/>
      <c r="B998" s="258"/>
      <c r="C998" s="257"/>
      <c r="D998" s="1762"/>
      <c r="E998" s="1763"/>
      <c r="F998" s="1763"/>
      <c r="G998" s="1763"/>
      <c r="H998" s="1763"/>
      <c r="I998" s="1763"/>
      <c r="J998" s="1763"/>
      <c r="K998" s="1763"/>
      <c r="L998" s="1763"/>
      <c r="M998" s="1763"/>
      <c r="N998" s="1763"/>
      <c r="O998" s="1763"/>
      <c r="P998" s="1763"/>
      <c r="Q998" s="1763"/>
      <c r="R998" s="1763"/>
      <c r="S998" s="1763"/>
      <c r="T998" s="1763"/>
      <c r="U998" s="1763"/>
      <c r="V998" s="1763"/>
      <c r="W998" s="1763"/>
      <c r="X998" s="1763"/>
      <c r="Y998" s="1763"/>
      <c r="Z998" s="1763"/>
      <c r="AA998" s="1763"/>
      <c r="AB998" s="1763"/>
      <c r="AC998" s="1763"/>
      <c r="AD998" s="1763"/>
      <c r="AE998" s="1764"/>
      <c r="AF998" s="73"/>
      <c r="AG998" s="14"/>
      <c r="AH998" s="14"/>
      <c r="AI998" s="83"/>
      <c r="AJ998" s="1722"/>
      <c r="AK998" s="1723"/>
      <c r="AL998" s="1723"/>
      <c r="AM998" s="1723"/>
      <c r="AN998" s="1723"/>
      <c r="AO998" s="1723"/>
      <c r="AP998" s="1723"/>
      <c r="AQ998" s="1724"/>
      <c r="AR998" s="68"/>
      <c r="AS998" s="68"/>
      <c r="AT998" s="68"/>
      <c r="AU998" s="68"/>
      <c r="AV998" s="68"/>
      <c r="AW998" s="68"/>
      <c r="AX998" s="68"/>
      <c r="AY998" s="68"/>
      <c r="AZ998" s="34"/>
      <c r="BA998" s="34"/>
      <c r="BB998" s="34"/>
      <c r="BC998" s="34"/>
    </row>
    <row r="999" spans="1:55" ht="13.05" customHeight="1">
      <c r="A999" s="14"/>
      <c r="B999" s="258"/>
      <c r="C999" s="257"/>
      <c r="D999" s="1765" t="s">
        <v>2207</v>
      </c>
      <c r="E999" s="1766"/>
      <c r="F999" s="1766"/>
      <c r="G999" s="1766"/>
      <c r="H999" s="1766"/>
      <c r="I999" s="1766"/>
      <c r="J999" s="1766"/>
      <c r="K999" s="1766"/>
      <c r="L999" s="1766"/>
      <c r="M999" s="1766"/>
      <c r="N999" s="1766"/>
      <c r="O999" s="1766"/>
      <c r="P999" s="1766"/>
      <c r="Q999" s="1766"/>
      <c r="R999" s="1766"/>
      <c r="S999" s="1766"/>
      <c r="T999" s="1766"/>
      <c r="U999" s="1766"/>
      <c r="V999" s="1766"/>
      <c r="W999" s="1766"/>
      <c r="X999" s="1766"/>
      <c r="Y999" s="1766"/>
      <c r="Z999" s="1766"/>
      <c r="AA999" s="1766"/>
      <c r="AB999" s="1766"/>
      <c r="AC999" s="1766"/>
      <c r="AD999" s="1766"/>
      <c r="AE999" s="1767"/>
      <c r="AF999" s="73"/>
      <c r="AG999" s="14"/>
      <c r="AH999" s="14"/>
      <c r="AI999" s="83"/>
      <c r="AJ999" s="1722"/>
      <c r="AK999" s="1723"/>
      <c r="AL999" s="1723"/>
      <c r="AM999" s="1723"/>
      <c r="AN999" s="1723"/>
      <c r="AO999" s="1723"/>
      <c r="AP999" s="1723"/>
      <c r="AQ999" s="1724"/>
      <c r="AR999" s="68"/>
      <c r="AS999" s="68"/>
      <c r="AT999" s="68"/>
      <c r="AU999" s="68"/>
      <c r="AV999" s="68"/>
      <c r="AW999" s="68"/>
      <c r="AX999" s="68"/>
      <c r="AY999" s="68"/>
      <c r="AZ999" s="34"/>
      <c r="BA999" s="34"/>
      <c r="BB999" s="34"/>
      <c r="BC999" s="34"/>
    </row>
    <row r="1000" spans="1:55" ht="13.05" customHeight="1">
      <c r="A1000" s="14"/>
      <c r="B1000" s="258"/>
      <c r="C1000" s="257"/>
      <c r="D1000" s="1734" t="s">
        <v>875</v>
      </c>
      <c r="E1000" s="1735"/>
      <c r="F1000" s="1735"/>
      <c r="G1000" s="1735"/>
      <c r="H1000" s="1735"/>
      <c r="I1000" s="1735"/>
      <c r="J1000" s="1735"/>
      <c r="K1000" s="1735"/>
      <c r="L1000" s="1735"/>
      <c r="M1000" s="1735"/>
      <c r="N1000" s="1735"/>
      <c r="O1000" s="1735"/>
      <c r="P1000" s="1735"/>
      <c r="Q1000" s="1735"/>
      <c r="R1000" s="1735"/>
      <c r="S1000" s="1735"/>
      <c r="T1000" s="1735"/>
      <c r="U1000" s="1735"/>
      <c r="V1000" s="1735"/>
      <c r="W1000" s="1735"/>
      <c r="X1000" s="1735"/>
      <c r="Y1000" s="1735"/>
      <c r="Z1000" s="1735"/>
      <c r="AA1000" s="1735"/>
      <c r="AB1000" s="1735"/>
      <c r="AC1000" s="1735"/>
      <c r="AD1000" s="1735"/>
      <c r="AE1000" s="1736"/>
      <c r="AF1000" s="77"/>
      <c r="AG1000" s="7"/>
      <c r="AH1000" s="7"/>
      <c r="AI1000" s="78"/>
      <c r="AJ1000" s="1725"/>
      <c r="AK1000" s="1726"/>
      <c r="AL1000" s="1726"/>
      <c r="AM1000" s="1726"/>
      <c r="AN1000" s="1726"/>
      <c r="AO1000" s="1726"/>
      <c r="AP1000" s="1726"/>
      <c r="AQ1000" s="1727"/>
      <c r="AR1000" s="68"/>
      <c r="AS1000" s="68"/>
      <c r="AT1000" s="68"/>
      <c r="AU1000" s="68"/>
      <c r="AV1000" s="68"/>
      <c r="AW1000" s="68"/>
      <c r="AX1000" s="68"/>
      <c r="AY1000" s="68"/>
      <c r="AZ1000" s="34"/>
      <c r="BA1000" s="34"/>
      <c r="BB1000" s="34"/>
      <c r="BC1000" s="34"/>
    </row>
    <row r="1001" spans="1:55" ht="13.05" customHeight="1">
      <c r="A1001" s="14"/>
      <c r="B1001" s="256"/>
      <c r="C1001" s="319"/>
      <c r="D1001" s="1759" t="s">
        <v>1286</v>
      </c>
      <c r="E1001" s="1760"/>
      <c r="F1001" s="1760"/>
      <c r="G1001" s="1760"/>
      <c r="H1001" s="1760"/>
      <c r="I1001" s="1760"/>
      <c r="J1001" s="1760"/>
      <c r="K1001" s="1760"/>
      <c r="L1001" s="1760"/>
      <c r="M1001" s="1760"/>
      <c r="N1001" s="1760"/>
      <c r="O1001" s="1760"/>
      <c r="P1001" s="1760"/>
      <c r="Q1001" s="1760"/>
      <c r="R1001" s="1760"/>
      <c r="S1001" s="1760"/>
      <c r="T1001" s="1760"/>
      <c r="U1001" s="1760"/>
      <c r="V1001" s="1760"/>
      <c r="W1001" s="1760"/>
      <c r="X1001" s="1760"/>
      <c r="Y1001" s="1760"/>
      <c r="Z1001" s="1760"/>
      <c r="AA1001" s="1760"/>
      <c r="AB1001" s="1760"/>
      <c r="AC1001" s="1760"/>
      <c r="AD1001" s="1760"/>
      <c r="AE1001" s="1761"/>
      <c r="AF1001" s="79"/>
      <c r="AG1001" s="1745" t="s">
        <v>669</v>
      </c>
      <c r="AH1001" s="1746"/>
      <c r="AI1001" s="87"/>
      <c r="AJ1001" s="1719">
        <f>ROUND(IF(AG1001="yes",AJ992*0.05,0),0)</f>
        <v>0</v>
      </c>
      <c r="AK1001" s="1720"/>
      <c r="AL1001" s="1720"/>
      <c r="AM1001" s="1720"/>
      <c r="AN1001" s="1720"/>
      <c r="AO1001" s="1720"/>
      <c r="AP1001" s="1720"/>
      <c r="AQ1001" s="1721"/>
      <c r="AR1001" s="68"/>
      <c r="AS1001" s="68"/>
      <c r="AT1001" s="68"/>
      <c r="AU1001" s="68"/>
      <c r="AV1001" s="68"/>
      <c r="AW1001" s="68"/>
      <c r="AX1001" s="68"/>
      <c r="AY1001" s="68"/>
      <c r="AZ1001" s="34"/>
      <c r="BA1001" s="34"/>
      <c r="BB1001" s="34"/>
      <c r="BC1001" s="34"/>
    </row>
    <row r="1002" spans="1:55" ht="13.05" customHeight="1">
      <c r="A1002" s="14"/>
      <c r="B1002" s="258"/>
      <c r="C1002" s="82"/>
      <c r="D1002" s="1762" t="s">
        <v>1284</v>
      </c>
      <c r="E1002" s="1763"/>
      <c r="F1002" s="1763"/>
      <c r="G1002" s="1763"/>
      <c r="H1002" s="1763"/>
      <c r="I1002" s="1763"/>
      <c r="J1002" s="1763"/>
      <c r="K1002" s="1763"/>
      <c r="L1002" s="1763"/>
      <c r="M1002" s="1763"/>
      <c r="N1002" s="1763"/>
      <c r="O1002" s="1763"/>
      <c r="P1002" s="1763"/>
      <c r="Q1002" s="1763"/>
      <c r="R1002" s="1763"/>
      <c r="S1002" s="1763"/>
      <c r="T1002" s="1763"/>
      <c r="U1002" s="1763"/>
      <c r="V1002" s="1763"/>
      <c r="W1002" s="1763"/>
      <c r="X1002" s="1763"/>
      <c r="Y1002" s="1763"/>
      <c r="Z1002" s="1763"/>
      <c r="AA1002" s="1763"/>
      <c r="AB1002" s="1763"/>
      <c r="AC1002" s="1763"/>
      <c r="AD1002" s="1763"/>
      <c r="AE1002" s="1764"/>
      <c r="AF1002" s="73"/>
      <c r="AG1002" s="14"/>
      <c r="AH1002" s="14"/>
      <c r="AI1002" s="83"/>
      <c r="AJ1002" s="1722"/>
      <c r="AK1002" s="1723"/>
      <c r="AL1002" s="1723"/>
      <c r="AM1002" s="1723"/>
      <c r="AN1002" s="1723"/>
      <c r="AO1002" s="1723"/>
      <c r="AP1002" s="1723"/>
      <c r="AQ1002" s="1724"/>
      <c r="AR1002" s="68"/>
      <c r="AS1002" s="68"/>
      <c r="AT1002" s="68"/>
      <c r="AU1002" s="68"/>
      <c r="AV1002" s="68"/>
      <c r="AW1002" s="68"/>
      <c r="AX1002" s="68"/>
      <c r="AY1002" s="34"/>
      <c r="AZ1002" s="34"/>
      <c r="BB1002" s="34"/>
    </row>
    <row r="1003" spans="1:55" ht="13.05" customHeight="1">
      <c r="A1003" s="14"/>
      <c r="B1003" s="258"/>
      <c r="C1003" s="82"/>
      <c r="D1003" s="1762"/>
      <c r="E1003" s="1763"/>
      <c r="F1003" s="1763"/>
      <c r="G1003" s="1763"/>
      <c r="H1003" s="1763"/>
      <c r="I1003" s="1763"/>
      <c r="J1003" s="1763"/>
      <c r="K1003" s="1763"/>
      <c r="L1003" s="1763"/>
      <c r="M1003" s="1763"/>
      <c r="N1003" s="1763"/>
      <c r="O1003" s="1763"/>
      <c r="P1003" s="1763"/>
      <c r="Q1003" s="1763"/>
      <c r="R1003" s="1763"/>
      <c r="S1003" s="1763"/>
      <c r="T1003" s="1763"/>
      <c r="U1003" s="1763"/>
      <c r="V1003" s="1763"/>
      <c r="W1003" s="1763"/>
      <c r="X1003" s="1763"/>
      <c r="Y1003" s="1763"/>
      <c r="Z1003" s="1763"/>
      <c r="AA1003" s="1763"/>
      <c r="AB1003" s="1763"/>
      <c r="AC1003" s="1763"/>
      <c r="AD1003" s="1763"/>
      <c r="AE1003" s="1764"/>
      <c r="AF1003" s="73"/>
      <c r="AG1003" s="14"/>
      <c r="AH1003" s="14"/>
      <c r="AI1003" s="83"/>
      <c r="AJ1003" s="1722"/>
      <c r="AK1003" s="1723"/>
      <c r="AL1003" s="1723"/>
      <c r="AM1003" s="1723"/>
      <c r="AN1003" s="1723"/>
      <c r="AO1003" s="1723"/>
      <c r="AP1003" s="1723"/>
      <c r="AQ1003" s="1724"/>
      <c r="AR1003" s="68"/>
      <c r="AS1003" s="68"/>
      <c r="AT1003" s="68"/>
      <c r="AU1003" s="68"/>
      <c r="AV1003" s="68"/>
      <c r="AW1003" s="68"/>
      <c r="AX1003" s="68"/>
      <c r="AY1003" s="915">
        <f>G753+O797</f>
        <v>63</v>
      </c>
      <c r="AZ1003" s="34"/>
      <c r="BB1003" s="34"/>
    </row>
    <row r="1004" spans="1:55" ht="13.05" customHeight="1">
      <c r="A1004" s="14"/>
      <c r="B1004" s="258"/>
      <c r="C1004" s="82"/>
      <c r="D1004" s="1762"/>
      <c r="E1004" s="1763"/>
      <c r="F1004" s="1763"/>
      <c r="G1004" s="1763"/>
      <c r="H1004" s="1763"/>
      <c r="I1004" s="1763"/>
      <c r="J1004" s="1763"/>
      <c r="K1004" s="1763"/>
      <c r="L1004" s="1763"/>
      <c r="M1004" s="1763"/>
      <c r="N1004" s="1763"/>
      <c r="O1004" s="1763"/>
      <c r="P1004" s="1763"/>
      <c r="Q1004" s="1763"/>
      <c r="R1004" s="1763"/>
      <c r="S1004" s="1763"/>
      <c r="T1004" s="1763"/>
      <c r="U1004" s="1763"/>
      <c r="V1004" s="1763"/>
      <c r="W1004" s="1763"/>
      <c r="X1004" s="1763"/>
      <c r="Y1004" s="1763"/>
      <c r="Z1004" s="1763"/>
      <c r="AA1004" s="1763"/>
      <c r="AB1004" s="1763"/>
      <c r="AC1004" s="1763"/>
      <c r="AD1004" s="1763"/>
      <c r="AE1004" s="1764"/>
      <c r="AF1004" s="73"/>
      <c r="AG1004" s="14"/>
      <c r="AH1004" s="14"/>
      <c r="AI1004" s="83"/>
      <c r="AJ1004" s="1722"/>
      <c r="AK1004" s="1723"/>
      <c r="AL1004" s="1723"/>
      <c r="AM1004" s="1723"/>
      <c r="AN1004" s="1723"/>
      <c r="AO1004" s="1723"/>
      <c r="AP1004" s="1723"/>
      <c r="AQ1004" s="1724"/>
      <c r="AR1004" s="68"/>
      <c r="AS1004" s="68"/>
      <c r="AT1004" s="68"/>
      <c r="AU1004" s="68"/>
      <c r="AV1004" s="68"/>
      <c r="AW1004" s="68"/>
      <c r="AX1004" s="68"/>
      <c r="AY1004" s="14"/>
      <c r="AZ1004" s="34"/>
      <c r="BB1004" s="34"/>
    </row>
    <row r="1005" spans="1:55" ht="13.05" customHeight="1">
      <c r="A1005" s="14"/>
      <c r="B1005" s="258"/>
      <c r="C1005" s="82"/>
      <c r="D1005" s="1762"/>
      <c r="E1005" s="1763"/>
      <c r="F1005" s="1763"/>
      <c r="G1005" s="1763"/>
      <c r="H1005" s="1763"/>
      <c r="I1005" s="1763"/>
      <c r="J1005" s="1763"/>
      <c r="K1005" s="1763"/>
      <c r="L1005" s="1763"/>
      <c r="M1005" s="1763"/>
      <c r="N1005" s="1763"/>
      <c r="O1005" s="1763"/>
      <c r="P1005" s="1763"/>
      <c r="Q1005" s="1763"/>
      <c r="R1005" s="1763"/>
      <c r="S1005" s="1763"/>
      <c r="T1005" s="1763"/>
      <c r="U1005" s="1763"/>
      <c r="V1005" s="1763"/>
      <c r="W1005" s="1763"/>
      <c r="X1005" s="1763"/>
      <c r="Y1005" s="1763"/>
      <c r="Z1005" s="1763"/>
      <c r="AA1005" s="1763"/>
      <c r="AB1005" s="1763"/>
      <c r="AC1005" s="1763"/>
      <c r="AD1005" s="1763"/>
      <c r="AE1005" s="1764"/>
      <c r="AF1005" s="73"/>
      <c r="AG1005" s="14"/>
      <c r="AH1005" s="14"/>
      <c r="AI1005" s="83"/>
      <c r="AJ1005" s="1722"/>
      <c r="AK1005" s="1723"/>
      <c r="AL1005" s="1723"/>
      <c r="AM1005" s="1723"/>
      <c r="AN1005" s="1723"/>
      <c r="AO1005" s="1723"/>
      <c r="AP1005" s="1723"/>
      <c r="AQ1005" s="1724"/>
      <c r="AR1005" s="68"/>
      <c r="AS1005" s="68"/>
      <c r="AT1005" s="68"/>
      <c r="AU1005" s="68"/>
      <c r="AV1005" s="68"/>
      <c r="AW1005" s="68"/>
      <c r="AX1005" s="68"/>
      <c r="AY1005" s="914">
        <f>ROUNDDOWN(X1048/I1048,2)</f>
        <v>0.68</v>
      </c>
      <c r="AZ1005" s="34"/>
      <c r="BB1005" s="34"/>
    </row>
    <row r="1006" spans="1:55" ht="13.05" customHeight="1">
      <c r="A1006" s="14"/>
      <c r="B1006" s="75"/>
      <c r="C1006" s="76"/>
      <c r="D1006" s="1765"/>
      <c r="E1006" s="1766"/>
      <c r="F1006" s="1766"/>
      <c r="G1006" s="1766"/>
      <c r="H1006" s="1766"/>
      <c r="I1006" s="1766"/>
      <c r="J1006" s="1766"/>
      <c r="K1006" s="1766"/>
      <c r="L1006" s="1766"/>
      <c r="M1006" s="1766"/>
      <c r="N1006" s="1766"/>
      <c r="O1006" s="1766"/>
      <c r="P1006" s="1766"/>
      <c r="Q1006" s="1766"/>
      <c r="R1006" s="1766"/>
      <c r="S1006" s="1766"/>
      <c r="T1006" s="1766"/>
      <c r="U1006" s="1766"/>
      <c r="V1006" s="1766"/>
      <c r="W1006" s="1766"/>
      <c r="X1006" s="1766"/>
      <c r="Y1006" s="1766"/>
      <c r="Z1006" s="1766"/>
      <c r="AA1006" s="1766"/>
      <c r="AB1006" s="1766"/>
      <c r="AC1006" s="1766"/>
      <c r="AD1006" s="1766"/>
      <c r="AE1006" s="1767"/>
      <c r="AF1006" s="77"/>
      <c r="AG1006" s="7"/>
      <c r="AH1006" s="7"/>
      <c r="AI1006" s="78"/>
      <c r="AJ1006" s="1725"/>
      <c r="AK1006" s="1726"/>
      <c r="AL1006" s="1726"/>
      <c r="AM1006" s="1726"/>
      <c r="AN1006" s="1726"/>
      <c r="AO1006" s="1726"/>
      <c r="AP1006" s="1726"/>
      <c r="AQ1006" s="1727"/>
      <c r="AR1006" s="68"/>
      <c r="AS1006" s="68"/>
      <c r="AT1006" s="68"/>
      <c r="AU1006" s="68"/>
      <c r="AV1006" s="68"/>
      <c r="AW1006" s="68"/>
      <c r="AX1006" s="68"/>
      <c r="AY1006" s="914">
        <f>ROUNDDOWN(X1052/I1052,2)</f>
        <v>0.15</v>
      </c>
      <c r="AZ1006" s="34"/>
      <c r="BB1006" s="34"/>
    </row>
    <row r="1007" spans="1:55" ht="13.05" customHeight="1">
      <c r="A1007" s="14"/>
      <c r="B1007" s="256"/>
      <c r="C1007" s="80" t="s">
        <v>672</v>
      </c>
      <c r="D1007" s="1759" t="s">
        <v>1683</v>
      </c>
      <c r="E1007" s="1760"/>
      <c r="F1007" s="1760"/>
      <c r="G1007" s="1760"/>
      <c r="H1007" s="1760"/>
      <c r="I1007" s="1760"/>
      <c r="J1007" s="1760"/>
      <c r="K1007" s="1760"/>
      <c r="L1007" s="1760"/>
      <c r="M1007" s="1760"/>
      <c r="N1007" s="1760"/>
      <c r="O1007" s="1760"/>
      <c r="P1007" s="1760"/>
      <c r="Q1007" s="1760"/>
      <c r="R1007" s="1760"/>
      <c r="S1007" s="1760"/>
      <c r="T1007" s="1760"/>
      <c r="U1007" s="1760"/>
      <c r="V1007" s="1760"/>
      <c r="W1007" s="1760"/>
      <c r="X1007" s="1760"/>
      <c r="Y1007" s="1760"/>
      <c r="Z1007" s="1760"/>
      <c r="AA1007" s="1760"/>
      <c r="AB1007" s="1760"/>
      <c r="AC1007" s="1760"/>
      <c r="AD1007" s="1760"/>
      <c r="AE1007" s="1761"/>
      <c r="AF1007" s="86"/>
      <c r="AG1007" s="1745" t="s">
        <v>669</v>
      </c>
      <c r="AH1007" s="1746"/>
      <c r="AI1007" s="87"/>
      <c r="AJ1007" s="1719">
        <f>ROUND(IF(AG1007="yes",AJ992*0.1,0),0)</f>
        <v>0</v>
      </c>
      <c r="AK1007" s="1720"/>
      <c r="AL1007" s="1720"/>
      <c r="AM1007" s="1720"/>
      <c r="AN1007" s="1720"/>
      <c r="AO1007" s="1720"/>
      <c r="AP1007" s="1720"/>
      <c r="AQ1007" s="1721"/>
      <c r="AR1007" s="68"/>
      <c r="AS1007" s="68"/>
      <c r="AT1007" s="68"/>
      <c r="AU1007" s="68"/>
      <c r="AV1007" s="68"/>
      <c r="AW1007" s="68"/>
      <c r="AX1007" s="68"/>
      <c r="BB1007" s="34"/>
    </row>
    <row r="1008" spans="1:55" ht="13.05" customHeight="1">
      <c r="A1008" s="14"/>
      <c r="B1008" s="73"/>
      <c r="C1008" s="74"/>
      <c r="D1008" s="1690" t="s">
        <v>1285</v>
      </c>
      <c r="E1008" s="1691"/>
      <c r="F1008" s="1691"/>
      <c r="G1008" s="1691"/>
      <c r="H1008" s="1691"/>
      <c r="I1008" s="1691"/>
      <c r="J1008" s="1691"/>
      <c r="K1008" s="1691"/>
      <c r="L1008" s="1691"/>
      <c r="M1008" s="1691"/>
      <c r="N1008" s="1691"/>
      <c r="O1008" s="1691"/>
      <c r="P1008" s="1691"/>
      <c r="Q1008" s="1691"/>
      <c r="R1008" s="1691"/>
      <c r="S1008" s="1691"/>
      <c r="T1008" s="1691"/>
      <c r="U1008" s="1691"/>
      <c r="V1008" s="1691"/>
      <c r="W1008" s="1691"/>
      <c r="X1008" s="1691"/>
      <c r="Y1008" s="1691"/>
      <c r="Z1008" s="1691"/>
      <c r="AA1008" s="1691"/>
      <c r="AB1008" s="1691"/>
      <c r="AC1008" s="1691"/>
      <c r="AD1008" s="1691"/>
      <c r="AE1008" s="1692"/>
      <c r="AF1008" s="73"/>
      <c r="AI1008" s="83"/>
      <c r="AJ1008" s="1722"/>
      <c r="AK1008" s="1723"/>
      <c r="AL1008" s="1723"/>
      <c r="AM1008" s="1723"/>
      <c r="AN1008" s="1723"/>
      <c r="AO1008" s="1723"/>
      <c r="AP1008" s="1723"/>
      <c r="AQ1008" s="1724"/>
      <c r="AR1008" s="68"/>
      <c r="AS1008" s="68"/>
      <c r="AT1008" s="68"/>
      <c r="AU1008" s="68"/>
      <c r="AV1008" s="68"/>
      <c r="AW1008" s="68"/>
      <c r="AX1008" s="68"/>
    </row>
    <row r="1009" spans="1:51" ht="13.05" customHeight="1">
      <c r="A1009" s="14"/>
      <c r="B1009" s="73"/>
      <c r="C1009" s="74"/>
      <c r="D1009" s="1690"/>
      <c r="E1009" s="1691"/>
      <c r="F1009" s="1691"/>
      <c r="G1009" s="1691"/>
      <c r="H1009" s="1691"/>
      <c r="I1009" s="1691"/>
      <c r="J1009" s="1691"/>
      <c r="K1009" s="1691"/>
      <c r="L1009" s="1691"/>
      <c r="M1009" s="1691"/>
      <c r="N1009" s="1691"/>
      <c r="O1009" s="1691"/>
      <c r="P1009" s="1691"/>
      <c r="Q1009" s="1691"/>
      <c r="R1009" s="1691"/>
      <c r="S1009" s="1691"/>
      <c r="T1009" s="1691"/>
      <c r="U1009" s="1691"/>
      <c r="V1009" s="1691"/>
      <c r="W1009" s="1691"/>
      <c r="X1009" s="1691"/>
      <c r="Y1009" s="1691"/>
      <c r="Z1009" s="1691"/>
      <c r="AA1009" s="1691"/>
      <c r="AB1009" s="1691"/>
      <c r="AC1009" s="1691"/>
      <c r="AD1009" s="1691"/>
      <c r="AE1009" s="1692"/>
      <c r="AF1009" s="73"/>
      <c r="AG1009" s="14"/>
      <c r="AH1009" s="14"/>
      <c r="AI1009" s="83"/>
      <c r="AJ1009" s="1722"/>
      <c r="AK1009" s="1723"/>
      <c r="AL1009" s="1723"/>
      <c r="AM1009" s="1723"/>
      <c r="AN1009" s="1723"/>
      <c r="AO1009" s="1723"/>
      <c r="AP1009" s="1723"/>
      <c r="AQ1009" s="1724"/>
      <c r="AR1009" s="68"/>
      <c r="AS1009" s="68"/>
      <c r="AT1009" s="68"/>
      <c r="AU1009" s="68"/>
      <c r="AV1009" s="68"/>
      <c r="AW1009" s="68"/>
      <c r="AX1009" s="68"/>
    </row>
    <row r="1010" spans="1:51" ht="13.05" customHeight="1">
      <c r="A1010" s="14"/>
      <c r="B1010" s="85"/>
      <c r="C1010" s="76"/>
      <c r="D1010" s="1737"/>
      <c r="E1010" s="1738"/>
      <c r="F1010" s="1738"/>
      <c r="G1010" s="1738"/>
      <c r="H1010" s="1738"/>
      <c r="I1010" s="1738"/>
      <c r="J1010" s="1738"/>
      <c r="K1010" s="1738"/>
      <c r="L1010" s="1738"/>
      <c r="M1010" s="1738"/>
      <c r="N1010" s="1738"/>
      <c r="O1010" s="1738"/>
      <c r="P1010" s="1738"/>
      <c r="Q1010" s="1738"/>
      <c r="R1010" s="1738"/>
      <c r="S1010" s="1738"/>
      <c r="T1010" s="1738"/>
      <c r="U1010" s="1738"/>
      <c r="V1010" s="1738"/>
      <c r="W1010" s="1738"/>
      <c r="X1010" s="1738"/>
      <c r="Y1010" s="1738"/>
      <c r="Z1010" s="1738"/>
      <c r="AA1010" s="1738"/>
      <c r="AB1010" s="1738"/>
      <c r="AC1010" s="1738"/>
      <c r="AD1010" s="1738"/>
      <c r="AE1010" s="1739"/>
      <c r="AF1010" s="77"/>
      <c r="AG1010" s="7"/>
      <c r="AH1010" s="7"/>
      <c r="AI1010" s="78"/>
      <c r="AJ1010" s="1725"/>
      <c r="AK1010" s="1726"/>
      <c r="AL1010" s="1726"/>
      <c r="AM1010" s="1726"/>
      <c r="AN1010" s="1726"/>
      <c r="AO1010" s="1726"/>
      <c r="AP1010" s="1726"/>
      <c r="AQ1010" s="1727"/>
      <c r="AR1010" s="68"/>
      <c r="AS1010" s="68"/>
      <c r="AT1010" s="68"/>
      <c r="AU1010" s="68"/>
      <c r="AV1010" s="68"/>
      <c r="AW1010" s="68"/>
      <c r="AX1010" s="68"/>
    </row>
    <row r="1011" spans="1:51" ht="13.05" customHeight="1">
      <c r="A1011" s="14"/>
      <c r="B1011" s="79"/>
      <c r="C1011" s="80" t="s">
        <v>211</v>
      </c>
      <c r="D1011" s="1759" t="s">
        <v>1287</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9"/>
      <c r="AG1011" s="1745" t="s">
        <v>669</v>
      </c>
      <c r="AH1011" s="1746"/>
      <c r="AI1011" s="87"/>
      <c r="AJ1011" s="1719">
        <f>ROUND(IF(AG1011="yes",AJ992*0.02,0),0)</f>
        <v>0</v>
      </c>
      <c r="AK1011" s="1720"/>
      <c r="AL1011" s="1720"/>
      <c r="AM1011" s="1720"/>
      <c r="AN1011" s="1720"/>
      <c r="AO1011" s="1720"/>
      <c r="AP1011" s="1720"/>
      <c r="AQ1011" s="1721"/>
      <c r="AR1011" s="68"/>
      <c r="AS1011" s="68"/>
      <c r="AT1011" s="68"/>
      <c r="AU1011" s="68"/>
      <c r="AV1011" s="68"/>
      <c r="AW1011" s="68"/>
      <c r="AX1011" s="68"/>
      <c r="AY1011" s="202">
        <f>IF(SUM(AY1015:AY1023)&lt;=0.2,SUM(AY1015:AY1023),0.2)</f>
        <v>0</v>
      </c>
    </row>
    <row r="1012" spans="1:51" ht="14.25" customHeight="1">
      <c r="A1012" s="14"/>
      <c r="B1012" s="73"/>
      <c r="C1012" s="74"/>
      <c r="D1012" s="1737" t="s">
        <v>1288</v>
      </c>
      <c r="E1012" s="1738"/>
      <c r="F1012" s="1738"/>
      <c r="G1012" s="1738"/>
      <c r="H1012" s="1738"/>
      <c r="I1012" s="1738"/>
      <c r="J1012" s="1738"/>
      <c r="K1012" s="1738"/>
      <c r="L1012" s="1738"/>
      <c r="M1012" s="1738"/>
      <c r="N1012" s="1738"/>
      <c r="O1012" s="1738"/>
      <c r="P1012" s="1738"/>
      <c r="Q1012" s="1738"/>
      <c r="R1012" s="1738"/>
      <c r="S1012" s="1738"/>
      <c r="T1012" s="1738"/>
      <c r="U1012" s="1738"/>
      <c r="V1012" s="1738"/>
      <c r="W1012" s="1738"/>
      <c r="X1012" s="1738"/>
      <c r="Y1012" s="1738"/>
      <c r="Z1012" s="1738"/>
      <c r="AA1012" s="1738"/>
      <c r="AB1012" s="1738"/>
      <c r="AC1012" s="1738"/>
      <c r="AD1012" s="1738"/>
      <c r="AE1012" s="1739"/>
      <c r="AF1012" s="77"/>
      <c r="AG1012" s="7"/>
      <c r="AH1012" s="7"/>
      <c r="AI1012" s="78"/>
      <c r="AJ1012" s="1725"/>
      <c r="AK1012" s="1726"/>
      <c r="AL1012" s="1726"/>
      <c r="AM1012" s="1726"/>
      <c r="AN1012" s="1726"/>
      <c r="AO1012" s="1726"/>
      <c r="AP1012" s="1726"/>
      <c r="AQ1012" s="1727"/>
      <c r="AR1012" s="68"/>
      <c r="AS1012" s="68"/>
      <c r="AT1012" s="68"/>
      <c r="AU1012" s="68"/>
      <c r="AV1012" s="68"/>
      <c r="AW1012" s="68"/>
      <c r="AX1012" s="68"/>
    </row>
    <row r="1013" spans="1:51" ht="13.05" customHeight="1">
      <c r="A1013" s="14"/>
      <c r="B1013" s="79"/>
      <c r="C1013" s="80" t="s">
        <v>214</v>
      </c>
      <c r="D1013" s="1759" t="s">
        <v>1289</v>
      </c>
      <c r="E1013" s="1760"/>
      <c r="F1013" s="1760"/>
      <c r="G1013" s="1760"/>
      <c r="H1013" s="1760"/>
      <c r="I1013" s="1760"/>
      <c r="J1013" s="1760"/>
      <c r="K1013" s="1760"/>
      <c r="L1013" s="1760"/>
      <c r="M1013" s="1760"/>
      <c r="N1013" s="1760"/>
      <c r="O1013" s="1760"/>
      <c r="P1013" s="1760"/>
      <c r="Q1013" s="1760"/>
      <c r="R1013" s="1760"/>
      <c r="S1013" s="1760"/>
      <c r="T1013" s="1760"/>
      <c r="U1013" s="1760"/>
      <c r="V1013" s="1760"/>
      <c r="W1013" s="1760"/>
      <c r="X1013" s="1760"/>
      <c r="Y1013" s="1760"/>
      <c r="Z1013" s="1760"/>
      <c r="AA1013" s="1760"/>
      <c r="AB1013" s="1760"/>
      <c r="AC1013" s="1760"/>
      <c r="AD1013" s="1760"/>
      <c r="AE1013" s="1761"/>
      <c r="AF1013" s="79"/>
      <c r="AG1013" s="1745" t="s">
        <v>669</v>
      </c>
      <c r="AH1013" s="1746"/>
      <c r="AI1013" s="79"/>
      <c r="AJ1013" s="1719">
        <f>ROUND(IF(AG1013="yes",AJ992*0.02,0),0)</f>
        <v>0</v>
      </c>
      <c r="AK1013" s="1720"/>
      <c r="AL1013" s="1720"/>
      <c r="AM1013" s="1720"/>
      <c r="AN1013" s="1720"/>
      <c r="AO1013" s="1720"/>
      <c r="AP1013" s="1720"/>
      <c r="AQ1013" s="1721"/>
      <c r="AR1013" s="68"/>
      <c r="AS1013" s="68"/>
      <c r="AT1013" s="68"/>
      <c r="AU1013" s="68"/>
      <c r="AV1013" s="68"/>
      <c r="AW1013" s="68"/>
      <c r="AX1013" s="68"/>
      <c r="AY1013" s="200">
        <f>IF(A1065="Yes",0.2,0)</f>
        <v>0</v>
      </c>
    </row>
    <row r="1014" spans="1:51" ht="13.05" customHeight="1">
      <c r="A1014" s="14"/>
      <c r="B1014" s="73"/>
      <c r="C1014" s="74"/>
      <c r="D1014" s="1690" t="s">
        <v>1290</v>
      </c>
      <c r="E1014" s="1691"/>
      <c r="F1014" s="1691"/>
      <c r="G1014" s="1691"/>
      <c r="H1014" s="1691"/>
      <c r="I1014" s="1691"/>
      <c r="J1014" s="1691"/>
      <c r="K1014" s="1691"/>
      <c r="L1014" s="1691"/>
      <c r="M1014" s="1691"/>
      <c r="N1014" s="1691"/>
      <c r="O1014" s="1691"/>
      <c r="P1014" s="1691"/>
      <c r="Q1014" s="1691"/>
      <c r="R1014" s="1691"/>
      <c r="S1014" s="1691"/>
      <c r="T1014" s="1691"/>
      <c r="U1014" s="1691"/>
      <c r="V1014" s="1691"/>
      <c r="W1014" s="1691"/>
      <c r="X1014" s="1691"/>
      <c r="Y1014" s="1691"/>
      <c r="Z1014" s="1691"/>
      <c r="AA1014" s="1691"/>
      <c r="AB1014" s="1691"/>
      <c r="AC1014" s="1691"/>
      <c r="AD1014" s="1691"/>
      <c r="AE1014" s="1692"/>
      <c r="AF1014" s="1844" t="str">
        <f>IF(AND(AG1013="yes",T212&lt;&gt;1),"The project may not be eligible for this boost","")</f>
        <v/>
      </c>
      <c r="AG1014" s="1845"/>
      <c r="AH1014" s="1845"/>
      <c r="AI1014" s="1846"/>
      <c r="AJ1014" s="1722"/>
      <c r="AK1014" s="1723"/>
      <c r="AL1014" s="1723"/>
      <c r="AM1014" s="1723"/>
      <c r="AN1014" s="1723"/>
      <c r="AO1014" s="1723"/>
      <c r="AP1014" s="1723"/>
      <c r="AQ1014" s="1724"/>
      <c r="AR1014" s="68"/>
      <c r="AS1014" s="68"/>
      <c r="AT1014" s="68"/>
      <c r="AU1014" s="68"/>
      <c r="AV1014" s="68"/>
      <c r="AW1014" s="68"/>
      <c r="AX1014" s="68"/>
      <c r="AY1014" s="200">
        <f>IF(A1067="Yes",0.15,0)</f>
        <v>0</v>
      </c>
    </row>
    <row r="1015" spans="1:51" ht="13.05" customHeight="1">
      <c r="A1015" s="14"/>
      <c r="B1015" s="75"/>
      <c r="C1015" s="76"/>
      <c r="D1015" s="1737"/>
      <c r="E1015" s="1738"/>
      <c r="F1015" s="1738"/>
      <c r="G1015" s="1738"/>
      <c r="H1015" s="1738"/>
      <c r="I1015" s="1738"/>
      <c r="J1015" s="1738"/>
      <c r="K1015" s="1738"/>
      <c r="L1015" s="1738"/>
      <c r="M1015" s="1738"/>
      <c r="N1015" s="1738"/>
      <c r="O1015" s="1738"/>
      <c r="P1015" s="1738"/>
      <c r="Q1015" s="1738"/>
      <c r="R1015" s="1738"/>
      <c r="S1015" s="1738"/>
      <c r="T1015" s="1738"/>
      <c r="U1015" s="1738"/>
      <c r="V1015" s="1738"/>
      <c r="W1015" s="1738"/>
      <c r="X1015" s="1738"/>
      <c r="Y1015" s="1738"/>
      <c r="Z1015" s="1738"/>
      <c r="AA1015" s="1738"/>
      <c r="AB1015" s="1738"/>
      <c r="AC1015" s="1738"/>
      <c r="AD1015" s="1738"/>
      <c r="AE1015" s="1739"/>
      <c r="AF1015" s="1847"/>
      <c r="AG1015" s="1848"/>
      <c r="AH1015" s="1848"/>
      <c r="AI1015" s="1849"/>
      <c r="AJ1015" s="1725"/>
      <c r="AK1015" s="1726"/>
      <c r="AL1015" s="1726"/>
      <c r="AM1015" s="1726"/>
      <c r="AN1015" s="1726"/>
      <c r="AO1015" s="1726"/>
      <c r="AP1015" s="1726"/>
      <c r="AQ1015" s="1727"/>
      <c r="AR1015" s="68"/>
      <c r="AS1015" s="68"/>
      <c r="AT1015" s="68"/>
      <c r="AU1015" s="68"/>
      <c r="AV1015" s="68"/>
      <c r="AW1015" s="68"/>
      <c r="AX1015" s="68"/>
      <c r="AY1015" s="200">
        <f>IF(A1070="Yes",0.05,0)</f>
        <v>0</v>
      </c>
    </row>
    <row r="1016" spans="1:51" ht="13.05" customHeight="1">
      <c r="A1016" s="14"/>
      <c r="B1016" s="79"/>
      <c r="C1016" s="80" t="s">
        <v>217</v>
      </c>
      <c r="D1016" s="1728" t="s">
        <v>2239</v>
      </c>
      <c r="E1016" s="1729"/>
      <c r="F1016" s="1729"/>
      <c r="G1016" s="1729"/>
      <c r="H1016" s="1729"/>
      <c r="I1016" s="1729"/>
      <c r="J1016" s="1729"/>
      <c r="K1016" s="1729"/>
      <c r="L1016" s="1729"/>
      <c r="M1016" s="1729"/>
      <c r="N1016" s="1729"/>
      <c r="O1016" s="1729"/>
      <c r="P1016" s="1729"/>
      <c r="Q1016" s="1729"/>
      <c r="R1016" s="1729"/>
      <c r="S1016" s="1729"/>
      <c r="T1016" s="1729"/>
      <c r="U1016" s="1729"/>
      <c r="V1016" s="1729"/>
      <c r="W1016" s="1729"/>
      <c r="X1016" s="1729"/>
      <c r="Y1016" s="1729"/>
      <c r="Z1016" s="1729"/>
      <c r="AA1016" s="1729"/>
      <c r="AB1016" s="1729"/>
      <c r="AC1016" s="1729"/>
      <c r="AD1016" s="1729"/>
      <c r="AE1016" s="1730"/>
      <c r="AF1016" s="79"/>
      <c r="AG1016" s="1745" t="s">
        <v>669</v>
      </c>
      <c r="AH1016" s="1746"/>
      <c r="AI1016" s="87"/>
      <c r="AJ1016" s="1719">
        <f>IF(AG1016="yes",AJ992*AY1011,0)</f>
        <v>0</v>
      </c>
      <c r="AK1016" s="1720"/>
      <c r="AL1016" s="1720"/>
      <c r="AM1016" s="1720"/>
      <c r="AN1016" s="1720"/>
      <c r="AO1016" s="1720"/>
      <c r="AP1016" s="1720"/>
      <c r="AQ1016" s="1721"/>
      <c r="AR1016" s="68"/>
      <c r="AS1016" s="68"/>
      <c r="AT1016" s="68"/>
      <c r="AU1016" s="68"/>
      <c r="AV1016" s="68"/>
      <c r="AW1016" s="68"/>
      <c r="AX1016" s="68"/>
      <c r="AY1016" s="200">
        <f>IF(A1075="Yes",0.02,0)</f>
        <v>0</v>
      </c>
    </row>
    <row r="1017" spans="1:51" ht="13.05" customHeight="1">
      <c r="A1017" s="14"/>
      <c r="B1017" s="73"/>
      <c r="C1017" s="74"/>
      <c r="D1017" s="1690" t="s">
        <v>1291</v>
      </c>
      <c r="E1017" s="1691"/>
      <c r="F1017" s="1691"/>
      <c r="G1017" s="1691"/>
      <c r="H1017" s="1691"/>
      <c r="I1017" s="1691"/>
      <c r="J1017" s="1691"/>
      <c r="K1017" s="1691"/>
      <c r="L1017" s="1691"/>
      <c r="M1017" s="1691"/>
      <c r="N1017" s="1691"/>
      <c r="O1017" s="1691"/>
      <c r="P1017" s="1691"/>
      <c r="Q1017" s="1691"/>
      <c r="R1017" s="1691"/>
      <c r="S1017" s="1691"/>
      <c r="T1017" s="1691"/>
      <c r="U1017" s="1691"/>
      <c r="V1017" s="1691"/>
      <c r="W1017" s="1691"/>
      <c r="X1017" s="1691"/>
      <c r="Y1017" s="1691"/>
      <c r="Z1017" s="1691"/>
      <c r="AA1017" s="1691"/>
      <c r="AB1017" s="1691"/>
      <c r="AC1017" s="1691"/>
      <c r="AD1017" s="1691"/>
      <c r="AE1017" s="1692"/>
      <c r="AF1017" s="1838" t="str">
        <f>IF(AND(AG1016="Yes",AY1011=0),AY1027,"")</f>
        <v/>
      </c>
      <c r="AG1017" s="1839"/>
      <c r="AH1017" s="1839"/>
      <c r="AI1017" s="1840"/>
      <c r="AJ1017" s="1722"/>
      <c r="AK1017" s="1723"/>
      <c r="AL1017" s="1723"/>
      <c r="AM1017" s="1723"/>
      <c r="AN1017" s="1723"/>
      <c r="AO1017" s="1723"/>
      <c r="AP1017" s="1723"/>
      <c r="AQ1017" s="1724"/>
      <c r="AR1017" s="68"/>
      <c r="AS1017" s="68"/>
      <c r="AT1017" s="68"/>
      <c r="AU1017" s="68"/>
      <c r="AV1017" s="68"/>
      <c r="AW1017" s="68"/>
      <c r="AX1017" s="68"/>
      <c r="AY1017" s="200">
        <f>IF(A1081="Yes",0.04,0)</f>
        <v>0</v>
      </c>
    </row>
    <row r="1018" spans="1:51" ht="13.05" customHeight="1">
      <c r="A1018" s="14"/>
      <c r="B1018" s="73"/>
      <c r="C1018" s="74"/>
      <c r="D1018" s="1690"/>
      <c r="E1018" s="1691"/>
      <c r="F1018" s="1691"/>
      <c r="G1018" s="1691"/>
      <c r="H1018" s="1691"/>
      <c r="I1018" s="1691"/>
      <c r="J1018" s="1691"/>
      <c r="K1018" s="1691"/>
      <c r="L1018" s="1691"/>
      <c r="M1018" s="1691"/>
      <c r="N1018" s="1691"/>
      <c r="O1018" s="1691"/>
      <c r="P1018" s="1691"/>
      <c r="Q1018" s="1691"/>
      <c r="R1018" s="1691"/>
      <c r="S1018" s="1691"/>
      <c r="T1018" s="1691"/>
      <c r="U1018" s="1691"/>
      <c r="V1018" s="1691"/>
      <c r="W1018" s="1691"/>
      <c r="X1018" s="1691"/>
      <c r="Y1018" s="1691"/>
      <c r="Z1018" s="1691"/>
      <c r="AA1018" s="1691"/>
      <c r="AB1018" s="1691"/>
      <c r="AC1018" s="1691"/>
      <c r="AD1018" s="1691"/>
      <c r="AE1018" s="1692"/>
      <c r="AF1018" s="1838"/>
      <c r="AG1018" s="1839"/>
      <c r="AH1018" s="1839"/>
      <c r="AI1018" s="1840"/>
      <c r="AJ1018" s="1722"/>
      <c r="AK1018" s="1723"/>
      <c r="AL1018" s="1723"/>
      <c r="AM1018" s="1723"/>
      <c r="AN1018" s="1723"/>
      <c r="AO1018" s="1723"/>
      <c r="AP1018" s="1723"/>
      <c r="AQ1018" s="1724"/>
      <c r="AR1018" s="68"/>
      <c r="AS1018" s="68"/>
      <c r="AT1018" s="68"/>
      <c r="AU1018" s="68"/>
      <c r="AV1018" s="68"/>
      <c r="AW1018" s="68"/>
      <c r="AX1018" s="68"/>
      <c r="AY1018" s="200">
        <f>IF(A1085="Yes",0.04,0)</f>
        <v>0</v>
      </c>
    </row>
    <row r="1019" spans="1:51" ht="13.05" customHeight="1">
      <c r="A1019" s="14"/>
      <c r="B1019" s="81"/>
      <c r="C1019" s="82"/>
      <c r="D1019" s="1737"/>
      <c r="E1019" s="1738"/>
      <c r="F1019" s="1738"/>
      <c r="G1019" s="1738"/>
      <c r="H1019" s="1738"/>
      <c r="I1019" s="1738"/>
      <c r="J1019" s="1738"/>
      <c r="K1019" s="1738"/>
      <c r="L1019" s="1738"/>
      <c r="M1019" s="1738"/>
      <c r="N1019" s="1738"/>
      <c r="O1019" s="1738"/>
      <c r="P1019" s="1738"/>
      <c r="Q1019" s="1738"/>
      <c r="R1019" s="1738"/>
      <c r="S1019" s="1738"/>
      <c r="T1019" s="1738"/>
      <c r="U1019" s="1738"/>
      <c r="V1019" s="1738"/>
      <c r="W1019" s="1738"/>
      <c r="X1019" s="1738"/>
      <c r="Y1019" s="1738"/>
      <c r="Z1019" s="1738"/>
      <c r="AA1019" s="1738"/>
      <c r="AB1019" s="1738"/>
      <c r="AC1019" s="1738"/>
      <c r="AD1019" s="1738"/>
      <c r="AE1019" s="1739"/>
      <c r="AF1019" s="1841"/>
      <c r="AG1019" s="1842"/>
      <c r="AH1019" s="1842"/>
      <c r="AI1019" s="1843"/>
      <c r="AJ1019" s="1725"/>
      <c r="AK1019" s="1726"/>
      <c r="AL1019" s="1726"/>
      <c r="AM1019" s="1726"/>
      <c r="AN1019" s="1726"/>
      <c r="AO1019" s="1726"/>
      <c r="AP1019" s="1726"/>
      <c r="AQ1019" s="1727"/>
      <c r="AR1019" s="68"/>
      <c r="AS1019" s="68"/>
      <c r="AT1019" s="68"/>
      <c r="AU1019" s="68"/>
      <c r="AV1019" s="68"/>
      <c r="AW1019" s="68"/>
      <c r="AX1019" s="68"/>
      <c r="AY1019" s="200">
        <f>IF(A1089="Yes",0.01,0)</f>
        <v>0</v>
      </c>
    </row>
    <row r="1020" spans="1:51" ht="13.05" customHeight="1">
      <c r="A1020" s="14"/>
      <c r="B1020" s="79"/>
      <c r="C1020" s="80" t="s">
        <v>222</v>
      </c>
      <c r="D1020" s="1807" t="s">
        <v>1292</v>
      </c>
      <c r="E1020" s="1808"/>
      <c r="F1020" s="1808"/>
      <c r="G1020" s="1808"/>
      <c r="H1020" s="1808"/>
      <c r="I1020" s="1808"/>
      <c r="J1020" s="1808"/>
      <c r="K1020" s="1808"/>
      <c r="L1020" s="1808"/>
      <c r="M1020" s="1808"/>
      <c r="N1020" s="1808"/>
      <c r="O1020" s="1808"/>
      <c r="P1020" s="1808"/>
      <c r="Q1020" s="1808"/>
      <c r="R1020" s="1808"/>
      <c r="S1020" s="1808"/>
      <c r="T1020" s="1808"/>
      <c r="U1020" s="1808"/>
      <c r="V1020" s="1808"/>
      <c r="W1020" s="1808"/>
      <c r="X1020" s="1808"/>
      <c r="Y1020" s="1808"/>
      <c r="Z1020" s="1808"/>
      <c r="AA1020" s="1808"/>
      <c r="AB1020" s="1808"/>
      <c r="AC1020" s="1808"/>
      <c r="AD1020" s="1808"/>
      <c r="AE1020" s="1809"/>
      <c r="AF1020" s="79"/>
      <c r="AG1020" s="1745" t="s">
        <v>669</v>
      </c>
      <c r="AH1020" s="1746"/>
      <c r="AI1020" s="87"/>
      <c r="AJ1020" s="1719">
        <f>ROUND(IF(AND(AG1020="Yes",J1024&lt;&gt;"N/A",AF1023&lt;&gt;""),MIN(AF1023,(0.15*AJ992)),0),0)</f>
        <v>0</v>
      </c>
      <c r="AK1020" s="1720"/>
      <c r="AL1020" s="1720"/>
      <c r="AM1020" s="1720"/>
      <c r="AN1020" s="1720"/>
      <c r="AO1020" s="1720"/>
      <c r="AP1020" s="1720"/>
      <c r="AQ1020" s="1721"/>
      <c r="AR1020" s="68"/>
      <c r="AS1020" s="68"/>
      <c r="AT1020" s="68"/>
      <c r="AU1020" s="68"/>
      <c r="AV1020" s="68"/>
      <c r="AW1020" s="68"/>
      <c r="AX1020" s="68"/>
      <c r="AY1020" s="200">
        <f>IF(A1094="Yes",0.01,0)</f>
        <v>0</v>
      </c>
    </row>
    <row r="1021" spans="1:51" ht="13.05" customHeight="1">
      <c r="A1021" s="14"/>
      <c r="B1021" s="81"/>
      <c r="C1021" s="84"/>
      <c r="D1021" s="1810"/>
      <c r="E1021" s="1811"/>
      <c r="F1021" s="1811"/>
      <c r="G1021" s="1811"/>
      <c r="H1021" s="1811"/>
      <c r="I1021" s="1811"/>
      <c r="J1021" s="1811"/>
      <c r="K1021" s="1811"/>
      <c r="L1021" s="1811"/>
      <c r="M1021" s="1811"/>
      <c r="N1021" s="1811"/>
      <c r="O1021" s="1811"/>
      <c r="P1021" s="1811"/>
      <c r="Q1021" s="1811"/>
      <c r="R1021" s="1811"/>
      <c r="S1021" s="1811"/>
      <c r="T1021" s="1811"/>
      <c r="U1021" s="1811"/>
      <c r="V1021" s="1811"/>
      <c r="W1021" s="1811"/>
      <c r="X1021" s="1811"/>
      <c r="Y1021" s="1811"/>
      <c r="Z1021" s="1811"/>
      <c r="AA1021" s="1811"/>
      <c r="AB1021" s="1811"/>
      <c r="AC1021" s="1811"/>
      <c r="AD1021" s="1811"/>
      <c r="AE1021" s="1812"/>
      <c r="AF1021" s="1824" t="str">
        <f>IF(AG1020="yes","Please Select Type and Enter Amount:","")</f>
        <v/>
      </c>
      <c r="AG1021" s="1825"/>
      <c r="AH1021" s="1825"/>
      <c r="AI1021" s="1826"/>
      <c r="AJ1021" s="1722"/>
      <c r="AK1021" s="1723"/>
      <c r="AL1021" s="1723"/>
      <c r="AM1021" s="1723"/>
      <c r="AN1021" s="1723"/>
      <c r="AO1021" s="1723"/>
      <c r="AP1021" s="1723"/>
      <c r="AQ1021" s="1724"/>
      <c r="AR1021" s="68"/>
      <c r="AS1021" s="68"/>
      <c r="AT1021" s="68"/>
      <c r="AU1021" s="68"/>
      <c r="AV1021" s="68"/>
      <c r="AW1021" s="68"/>
      <c r="AX1021" s="68"/>
      <c r="AY1021" s="200">
        <f>IF(A1097="Yes",0.01,0)</f>
        <v>0</v>
      </c>
    </row>
    <row r="1022" spans="1:51" ht="13.05" customHeight="1">
      <c r="A1022" s="14"/>
      <c r="B1022" s="81"/>
      <c r="C1022" s="84"/>
      <c r="D1022" s="1690" t="s">
        <v>1293</v>
      </c>
      <c r="E1022" s="1691"/>
      <c r="F1022" s="1691"/>
      <c r="G1022" s="1691"/>
      <c r="H1022" s="1691"/>
      <c r="I1022" s="1691"/>
      <c r="J1022" s="1691"/>
      <c r="K1022" s="1691"/>
      <c r="L1022" s="1691"/>
      <c r="M1022" s="1691"/>
      <c r="N1022" s="1691"/>
      <c r="O1022" s="1691"/>
      <c r="P1022" s="1691"/>
      <c r="Q1022" s="1691"/>
      <c r="R1022" s="1691"/>
      <c r="S1022" s="1691"/>
      <c r="T1022" s="1691"/>
      <c r="U1022" s="1691"/>
      <c r="V1022" s="1691"/>
      <c r="W1022" s="1691"/>
      <c r="X1022" s="1691"/>
      <c r="Y1022" s="1691"/>
      <c r="Z1022" s="1691"/>
      <c r="AA1022" s="1691"/>
      <c r="AB1022" s="1691"/>
      <c r="AC1022" s="1691"/>
      <c r="AD1022" s="1691"/>
      <c r="AE1022" s="1692"/>
      <c r="AF1022" s="1824"/>
      <c r="AG1022" s="1825"/>
      <c r="AH1022" s="1825"/>
      <c r="AI1022" s="1826"/>
      <c r="AJ1022" s="1722"/>
      <c r="AK1022" s="1723"/>
      <c r="AL1022" s="1723"/>
      <c r="AM1022" s="1723"/>
      <c r="AN1022" s="1723"/>
      <c r="AO1022" s="1723"/>
      <c r="AP1022" s="1723"/>
      <c r="AQ1022" s="1724"/>
      <c r="AR1022" s="68"/>
      <c r="AS1022" s="68"/>
      <c r="AT1022" s="68"/>
      <c r="AU1022" s="68"/>
      <c r="AV1022" s="68"/>
      <c r="AW1022" s="68"/>
      <c r="AX1022" s="68"/>
      <c r="AY1022" s="200">
        <f>IF(A1100="Yes",0.02,0)</f>
        <v>0</v>
      </c>
    </row>
    <row r="1023" spans="1:51" ht="13.05" customHeight="1">
      <c r="A1023" s="14"/>
      <c r="B1023" s="81"/>
      <c r="C1023" s="84"/>
      <c r="D1023" s="1690"/>
      <c r="E1023" s="1691"/>
      <c r="F1023" s="1691"/>
      <c r="G1023" s="1691"/>
      <c r="H1023" s="1691"/>
      <c r="I1023" s="1691"/>
      <c r="J1023" s="1691"/>
      <c r="K1023" s="1691"/>
      <c r="L1023" s="1691"/>
      <c r="M1023" s="1691"/>
      <c r="N1023" s="1691"/>
      <c r="O1023" s="1691"/>
      <c r="P1023" s="1691"/>
      <c r="Q1023" s="1691"/>
      <c r="R1023" s="1691"/>
      <c r="S1023" s="1691"/>
      <c r="T1023" s="1691"/>
      <c r="U1023" s="1691"/>
      <c r="V1023" s="1691"/>
      <c r="W1023" s="1691"/>
      <c r="X1023" s="1691"/>
      <c r="Y1023" s="1691"/>
      <c r="Z1023" s="1691"/>
      <c r="AA1023" s="1691"/>
      <c r="AB1023" s="1691"/>
      <c r="AC1023" s="1691"/>
      <c r="AD1023" s="1691"/>
      <c r="AE1023" s="1692"/>
      <c r="AF1023" s="1768"/>
      <c r="AG1023" s="1768"/>
      <c r="AH1023" s="1768"/>
      <c r="AI1023" s="1768"/>
      <c r="AJ1023" s="1722"/>
      <c r="AK1023" s="1723"/>
      <c r="AL1023" s="1723"/>
      <c r="AM1023" s="1723"/>
      <c r="AN1023" s="1723"/>
      <c r="AO1023" s="1723"/>
      <c r="AP1023" s="1723"/>
      <c r="AQ1023" s="1724"/>
      <c r="AR1023" s="68"/>
      <c r="AS1023" s="68"/>
      <c r="AT1023" s="68"/>
      <c r="AU1023" s="68"/>
      <c r="AV1023" s="68"/>
      <c r="AW1023" s="68"/>
      <c r="AX1023" s="68"/>
      <c r="AY1023" s="201">
        <f>IF(A1103="Yes",0.02,0)</f>
        <v>0</v>
      </c>
    </row>
    <row r="1024" spans="1:51" ht="13.05" customHeight="1">
      <c r="A1024" s="14"/>
      <c r="B1024" s="81"/>
      <c r="C1024" s="84"/>
      <c r="D1024" s="527" t="s">
        <v>358</v>
      </c>
      <c r="E1024" s="90"/>
      <c r="F1024" s="90"/>
      <c r="G1024" s="104"/>
      <c r="H1024" s="104"/>
      <c r="I1024" s="49"/>
      <c r="J1024" s="1816" t="s">
        <v>591</v>
      </c>
      <c r="K1024" s="1817"/>
      <c r="L1024" s="1817"/>
      <c r="M1024" s="1817"/>
      <c r="N1024" s="1817"/>
      <c r="O1024" s="1817"/>
      <c r="P1024" s="1817"/>
      <c r="Q1024" s="1817"/>
      <c r="R1024" s="1817"/>
      <c r="S1024" s="1817"/>
      <c r="T1024" s="1817"/>
      <c r="U1024" s="1817"/>
      <c r="V1024" s="1817"/>
      <c r="W1024" s="1817"/>
      <c r="X1024" s="1817"/>
      <c r="Y1024" s="1817"/>
      <c r="Z1024" s="1817"/>
      <c r="AA1024" s="1817"/>
      <c r="AB1024" s="1817"/>
      <c r="AC1024" s="1817"/>
      <c r="AD1024" s="1817"/>
      <c r="AE1024" s="1818"/>
      <c r="AF1024" s="1768"/>
      <c r="AG1024" s="1768"/>
      <c r="AH1024" s="1768"/>
      <c r="AI1024" s="1768"/>
      <c r="AJ1024" s="1725"/>
      <c r="AK1024" s="1726"/>
      <c r="AL1024" s="1726"/>
      <c r="AM1024" s="1726"/>
      <c r="AN1024" s="1726"/>
      <c r="AO1024" s="1726"/>
      <c r="AP1024" s="1726"/>
      <c r="AQ1024" s="1727"/>
      <c r="AR1024" s="68"/>
      <c r="AS1024" s="68"/>
      <c r="AT1024" s="68"/>
      <c r="AU1024" s="68"/>
      <c r="AV1024" s="68"/>
      <c r="AW1024" s="68"/>
      <c r="AX1024" s="68"/>
      <c r="AY1024" s="68"/>
    </row>
    <row r="1025" spans="1:57" ht="13.05" customHeight="1">
      <c r="A1025" s="14"/>
      <c r="B1025" s="79"/>
      <c r="C1025" s="80" t="s">
        <v>228</v>
      </c>
      <c r="D1025" s="1759" t="s">
        <v>1294</v>
      </c>
      <c r="E1025" s="1760"/>
      <c r="F1025" s="1760"/>
      <c r="G1025" s="1760"/>
      <c r="H1025" s="1760"/>
      <c r="I1025" s="1760"/>
      <c r="J1025" s="1760"/>
      <c r="K1025" s="1760"/>
      <c r="L1025" s="1760"/>
      <c r="M1025" s="1760"/>
      <c r="N1025" s="1760"/>
      <c r="O1025" s="1760"/>
      <c r="P1025" s="1760"/>
      <c r="Q1025" s="1760"/>
      <c r="R1025" s="1760"/>
      <c r="S1025" s="1760"/>
      <c r="T1025" s="1760"/>
      <c r="U1025" s="1760"/>
      <c r="V1025" s="1760"/>
      <c r="W1025" s="1760"/>
      <c r="X1025" s="1760"/>
      <c r="Y1025" s="1760"/>
      <c r="Z1025" s="1760"/>
      <c r="AA1025" s="1760"/>
      <c r="AB1025" s="1760"/>
      <c r="AC1025" s="1760"/>
      <c r="AD1025" s="1760"/>
      <c r="AE1025" s="1761"/>
      <c r="AF1025" s="79"/>
      <c r="AG1025" s="1745" t="s">
        <v>669</v>
      </c>
      <c r="AH1025" s="1746"/>
      <c r="AI1025" s="87"/>
      <c r="AJ1025" s="1719">
        <f>ROUND(IF(AG1025="Yes",AF1027,0),0)</f>
        <v>0</v>
      </c>
      <c r="AK1025" s="1720"/>
      <c r="AL1025" s="1720"/>
      <c r="AM1025" s="1720"/>
      <c r="AN1025" s="1720"/>
      <c r="AO1025" s="1720"/>
      <c r="AP1025" s="1720"/>
      <c r="AQ1025" s="1721"/>
      <c r="AR1025" s="68"/>
      <c r="AS1025" s="68"/>
      <c r="AT1025" s="68"/>
      <c r="AU1025" s="68"/>
      <c r="AV1025" s="68"/>
      <c r="AW1025" s="68"/>
      <c r="AX1025" s="68"/>
      <c r="AY1025" s="68"/>
    </row>
    <row r="1026" spans="1:57" ht="13.05" customHeight="1">
      <c r="A1026" s="14"/>
      <c r="B1026" s="73"/>
      <c r="C1026" s="74"/>
      <c r="D1026" s="1690" t="s">
        <v>1690</v>
      </c>
      <c r="E1026" s="1691"/>
      <c r="F1026" s="1691"/>
      <c r="G1026" s="1691"/>
      <c r="H1026" s="1691"/>
      <c r="I1026" s="1691"/>
      <c r="J1026" s="1691"/>
      <c r="K1026" s="1691"/>
      <c r="L1026" s="1691"/>
      <c r="M1026" s="1691"/>
      <c r="N1026" s="1691"/>
      <c r="O1026" s="1691"/>
      <c r="P1026" s="1691"/>
      <c r="Q1026" s="1691"/>
      <c r="R1026" s="1691"/>
      <c r="S1026" s="1691"/>
      <c r="T1026" s="1691"/>
      <c r="U1026" s="1691"/>
      <c r="V1026" s="1691"/>
      <c r="W1026" s="1691"/>
      <c r="X1026" s="1691"/>
      <c r="Y1026" s="1691"/>
      <c r="Z1026" s="1691"/>
      <c r="AA1026" s="1691"/>
      <c r="AB1026" s="1691"/>
      <c r="AC1026" s="1691"/>
      <c r="AD1026" s="1691"/>
      <c r="AE1026" s="1692"/>
      <c r="AF1026" s="1813" t="str">
        <f>IF(AG1025="yes","Enter Amount:","")</f>
        <v/>
      </c>
      <c r="AG1026" s="1814"/>
      <c r="AH1026" s="1814"/>
      <c r="AI1026" s="1815"/>
      <c r="AJ1026" s="1722"/>
      <c r="AK1026" s="1723"/>
      <c r="AL1026" s="1723"/>
      <c r="AM1026" s="1723"/>
      <c r="AN1026" s="1723"/>
      <c r="AO1026" s="1723"/>
      <c r="AP1026" s="1723"/>
      <c r="AQ1026" s="1724"/>
      <c r="AR1026" s="68"/>
      <c r="AS1026" s="68"/>
      <c r="AT1026" s="68"/>
      <c r="AU1026" s="68"/>
      <c r="AV1026" s="68"/>
      <c r="AW1026" s="68"/>
      <c r="AX1026" s="68"/>
      <c r="AY1026" s="68"/>
    </row>
    <row r="1027" spans="1:57" ht="13.05" customHeight="1">
      <c r="A1027" s="14"/>
      <c r="B1027" s="73"/>
      <c r="C1027" s="74"/>
      <c r="D1027" s="1690"/>
      <c r="E1027" s="1691"/>
      <c r="F1027" s="1691"/>
      <c r="G1027" s="1691"/>
      <c r="H1027" s="1691"/>
      <c r="I1027" s="1691"/>
      <c r="J1027" s="1691"/>
      <c r="K1027" s="1691"/>
      <c r="L1027" s="1691"/>
      <c r="M1027" s="1691"/>
      <c r="N1027" s="1691"/>
      <c r="O1027" s="1691"/>
      <c r="P1027" s="1691"/>
      <c r="Q1027" s="1691"/>
      <c r="R1027" s="1691"/>
      <c r="S1027" s="1691"/>
      <c r="T1027" s="1691"/>
      <c r="U1027" s="1691"/>
      <c r="V1027" s="1691"/>
      <c r="W1027" s="1691"/>
      <c r="X1027" s="1691"/>
      <c r="Y1027" s="1691"/>
      <c r="Z1027" s="1691"/>
      <c r="AA1027" s="1691"/>
      <c r="AB1027" s="1691"/>
      <c r="AC1027" s="1691"/>
      <c r="AD1027" s="1691"/>
      <c r="AE1027" s="1692"/>
      <c r="AF1027" s="1768"/>
      <c r="AG1027" s="1768"/>
      <c r="AH1027" s="1768"/>
      <c r="AI1027" s="1768"/>
      <c r="AJ1027" s="1722"/>
      <c r="AK1027" s="1723"/>
      <c r="AL1027" s="1723"/>
      <c r="AM1027" s="1723"/>
      <c r="AN1027" s="1723"/>
      <c r="AO1027" s="1723"/>
      <c r="AP1027" s="1723"/>
      <c r="AQ1027" s="1724"/>
      <c r="AR1027" s="68"/>
      <c r="AS1027" s="68"/>
      <c r="AT1027" s="68"/>
      <c r="AU1027" s="68"/>
      <c r="AV1027" s="68"/>
      <c r="AW1027" s="68"/>
      <c r="AX1027" s="68"/>
      <c r="AY1027" s="68" t="str">
        <f>"Select items beginning on row #"&amp;TEXT(ROW(A1061),"#")&amp;" to claim this boost"</f>
        <v>Select items beginning on row #1061 to claim this boost</v>
      </c>
    </row>
    <row r="1028" spans="1:57" ht="13.05" customHeight="1">
      <c r="A1028" s="14"/>
      <c r="B1028" s="85"/>
      <c r="C1028" s="84"/>
      <c r="D1028" s="1737"/>
      <c r="E1028" s="1738"/>
      <c r="F1028" s="1738"/>
      <c r="G1028" s="1738"/>
      <c r="H1028" s="1738"/>
      <c r="I1028" s="1738"/>
      <c r="J1028" s="1738"/>
      <c r="K1028" s="1738"/>
      <c r="L1028" s="1738"/>
      <c r="M1028" s="1738"/>
      <c r="N1028" s="1738"/>
      <c r="O1028" s="1738"/>
      <c r="P1028" s="1738"/>
      <c r="Q1028" s="1738"/>
      <c r="R1028" s="1738"/>
      <c r="S1028" s="1738"/>
      <c r="T1028" s="1738"/>
      <c r="U1028" s="1738"/>
      <c r="V1028" s="1738"/>
      <c r="W1028" s="1738"/>
      <c r="X1028" s="1738"/>
      <c r="Y1028" s="1738"/>
      <c r="Z1028" s="1738"/>
      <c r="AA1028" s="1738"/>
      <c r="AB1028" s="1738"/>
      <c r="AC1028" s="1738"/>
      <c r="AD1028" s="1738"/>
      <c r="AE1028" s="1739"/>
      <c r="AF1028" s="1768"/>
      <c r="AG1028" s="1768"/>
      <c r="AH1028" s="1768"/>
      <c r="AI1028" s="1768"/>
      <c r="AJ1028" s="1725"/>
      <c r="AK1028" s="1726"/>
      <c r="AL1028" s="1726"/>
      <c r="AM1028" s="1726"/>
      <c r="AN1028" s="1726"/>
      <c r="AO1028" s="1726"/>
      <c r="AP1028" s="1726"/>
      <c r="AQ1028" s="1727"/>
      <c r="AR1028" s="68"/>
      <c r="AS1028" s="68"/>
      <c r="AT1028" s="68"/>
      <c r="AU1028" s="68"/>
      <c r="AV1028" s="68"/>
      <c r="AW1028" s="68"/>
      <c r="AX1028" s="68"/>
      <c r="AY1028" s="68"/>
    </row>
    <row r="1029" spans="1:57" ht="13.05" customHeight="1">
      <c r="A1029" s="14"/>
      <c r="B1029" s="79"/>
      <c r="C1029" s="80" t="s">
        <v>233</v>
      </c>
      <c r="D1029" s="1728" t="s">
        <v>1295</v>
      </c>
      <c r="E1029" s="1729"/>
      <c r="F1029" s="1729"/>
      <c r="G1029" s="1729"/>
      <c r="H1029" s="1729"/>
      <c r="I1029" s="1729"/>
      <c r="J1029" s="1729"/>
      <c r="K1029" s="1729"/>
      <c r="L1029" s="1729"/>
      <c r="M1029" s="1729"/>
      <c r="N1029" s="1729"/>
      <c r="O1029" s="1729"/>
      <c r="P1029" s="1729"/>
      <c r="Q1029" s="1729"/>
      <c r="R1029" s="1729"/>
      <c r="S1029" s="1729"/>
      <c r="T1029" s="1729"/>
      <c r="U1029" s="1729"/>
      <c r="V1029" s="1729"/>
      <c r="W1029" s="1729"/>
      <c r="X1029" s="1729"/>
      <c r="Y1029" s="1729"/>
      <c r="Z1029" s="1729"/>
      <c r="AA1029" s="1729"/>
      <c r="AB1029" s="1729"/>
      <c r="AC1029" s="1729"/>
      <c r="AD1029" s="1729"/>
      <c r="AE1029" s="1730"/>
      <c r="AF1029" s="79"/>
      <c r="AG1029" s="1745" t="s">
        <v>545</v>
      </c>
      <c r="AH1029" s="1746"/>
      <c r="AI1029" s="87"/>
      <c r="AJ1029" s="1719">
        <f>ROUND(IF(AG1029="yes",(AJ992*0.1),0),0)</f>
        <v>3240459</v>
      </c>
      <c r="AK1029" s="1720"/>
      <c r="AL1029" s="1720"/>
      <c r="AM1029" s="1720"/>
      <c r="AN1029" s="1720"/>
      <c r="AO1029" s="1720"/>
      <c r="AP1029" s="1720"/>
      <c r="AQ1029" s="1721"/>
      <c r="AR1029" s="68"/>
      <c r="AS1029" s="68"/>
      <c r="AT1029" s="68"/>
      <c r="AU1029" s="68"/>
      <c r="AV1029" s="68"/>
      <c r="AW1029" s="68"/>
      <c r="AX1029" s="68"/>
      <c r="AY1029" s="68"/>
    </row>
    <row r="1030" spans="1:57" ht="13.05" customHeight="1">
      <c r="A1030" s="14"/>
      <c r="B1030" s="73"/>
      <c r="C1030" s="74"/>
      <c r="D1030" s="1690" t="s">
        <v>1296</v>
      </c>
      <c r="E1030" s="1691"/>
      <c r="F1030" s="1691"/>
      <c r="G1030" s="1691"/>
      <c r="H1030" s="1691"/>
      <c r="I1030" s="1691"/>
      <c r="J1030" s="1691"/>
      <c r="K1030" s="1691"/>
      <c r="L1030" s="1691"/>
      <c r="M1030" s="1691"/>
      <c r="N1030" s="1691"/>
      <c r="O1030" s="1691"/>
      <c r="P1030" s="1691"/>
      <c r="Q1030" s="1691"/>
      <c r="R1030" s="1691"/>
      <c r="S1030" s="1691"/>
      <c r="T1030" s="1691"/>
      <c r="U1030" s="1691"/>
      <c r="V1030" s="1691"/>
      <c r="W1030" s="1691"/>
      <c r="X1030" s="1691"/>
      <c r="Y1030" s="1691"/>
      <c r="Z1030" s="1691"/>
      <c r="AA1030" s="1691"/>
      <c r="AB1030" s="1691"/>
      <c r="AC1030" s="1691"/>
      <c r="AD1030" s="1691"/>
      <c r="AE1030" s="1692"/>
      <c r="AF1030" s="73"/>
      <c r="AG1030" s="14"/>
      <c r="AH1030" s="14"/>
      <c r="AI1030" s="83"/>
      <c r="AJ1030" s="1722"/>
      <c r="AK1030" s="1723"/>
      <c r="AL1030" s="1723"/>
      <c r="AM1030" s="1723"/>
      <c r="AN1030" s="1723"/>
      <c r="AO1030" s="1723"/>
      <c r="AP1030" s="1723"/>
      <c r="AQ1030" s="1724"/>
      <c r="AR1030" s="68"/>
      <c r="AS1030" s="68"/>
      <c r="AT1030" s="68"/>
      <c r="AU1030" s="68"/>
      <c r="AV1030" s="68"/>
      <c r="AW1030" s="68"/>
      <c r="AX1030" s="68"/>
      <c r="AY1030" s="68"/>
    </row>
    <row r="1031" spans="1:57" ht="13.05" customHeight="1">
      <c r="A1031" s="14"/>
      <c r="B1031" s="77"/>
      <c r="C1031" s="74"/>
      <c r="D1031" s="1737"/>
      <c r="E1031" s="1738"/>
      <c r="F1031" s="1738"/>
      <c r="G1031" s="1738"/>
      <c r="H1031" s="1738"/>
      <c r="I1031" s="1738"/>
      <c r="J1031" s="1738"/>
      <c r="K1031" s="1738"/>
      <c r="L1031" s="1738"/>
      <c r="M1031" s="1738"/>
      <c r="N1031" s="1738"/>
      <c r="O1031" s="1738"/>
      <c r="P1031" s="1738"/>
      <c r="Q1031" s="1738"/>
      <c r="R1031" s="1738"/>
      <c r="S1031" s="1738"/>
      <c r="T1031" s="1738"/>
      <c r="U1031" s="1738"/>
      <c r="V1031" s="1738"/>
      <c r="W1031" s="1738"/>
      <c r="X1031" s="1738"/>
      <c r="Y1031" s="1738"/>
      <c r="Z1031" s="1738"/>
      <c r="AA1031" s="1738"/>
      <c r="AB1031" s="1738"/>
      <c r="AC1031" s="1738"/>
      <c r="AD1031" s="1738"/>
      <c r="AE1031" s="1739"/>
      <c r="AF1031" s="73"/>
      <c r="AG1031" s="14"/>
      <c r="AH1031" s="14"/>
      <c r="AI1031" s="83"/>
      <c r="AJ1031" s="1725"/>
      <c r="AK1031" s="1726"/>
      <c r="AL1031" s="1726"/>
      <c r="AM1031" s="1726"/>
      <c r="AN1031" s="1726"/>
      <c r="AO1031" s="1726"/>
      <c r="AP1031" s="1726"/>
      <c r="AQ1031" s="1727"/>
      <c r="AR1031" s="68"/>
      <c r="AS1031" s="68"/>
      <c r="AT1031" s="68"/>
      <c r="AU1031" s="68"/>
      <c r="AV1031" s="68"/>
      <c r="AW1031" s="68"/>
      <c r="AX1031" s="68"/>
      <c r="AY1031" s="68"/>
    </row>
    <row r="1032" spans="1:57" ht="13.05" customHeight="1">
      <c r="A1032" s="14"/>
      <c r="B1032" s="73"/>
      <c r="C1032" s="340" t="s">
        <v>687</v>
      </c>
      <c r="D1032" s="1759" t="s">
        <v>1686</v>
      </c>
      <c r="E1032" s="1760"/>
      <c r="F1032" s="1760"/>
      <c r="G1032" s="1760"/>
      <c r="H1032" s="1760"/>
      <c r="I1032" s="1760"/>
      <c r="J1032" s="1760"/>
      <c r="K1032" s="1760"/>
      <c r="L1032" s="1760"/>
      <c r="M1032" s="1760"/>
      <c r="N1032" s="1760"/>
      <c r="O1032" s="1760"/>
      <c r="P1032" s="1760"/>
      <c r="Q1032" s="1760"/>
      <c r="R1032" s="1760"/>
      <c r="S1032" s="1760"/>
      <c r="T1032" s="1760"/>
      <c r="U1032" s="1760"/>
      <c r="V1032" s="1760"/>
      <c r="W1032" s="1760"/>
      <c r="X1032" s="1760"/>
      <c r="Y1032" s="1760"/>
      <c r="Z1032" s="1760"/>
      <c r="AA1032" s="1760"/>
      <c r="AB1032" s="1760"/>
      <c r="AC1032" s="1760"/>
      <c r="AD1032" s="1760"/>
      <c r="AE1032" s="1761"/>
      <c r="AF1032" s="79"/>
      <c r="AG1032" s="1745" t="s">
        <v>669</v>
      </c>
      <c r="AH1032" s="1746"/>
      <c r="AI1032" s="87"/>
      <c r="AJ1032" s="1719">
        <f>ROUND(IF(AG1032="yes",(AJ992*0.15),0),0)</f>
        <v>0</v>
      </c>
      <c r="AK1032" s="1720"/>
      <c r="AL1032" s="1720"/>
      <c r="AM1032" s="1720"/>
      <c r="AN1032" s="1720"/>
      <c r="AO1032" s="1720"/>
      <c r="AP1032" s="1720"/>
      <c r="AQ1032" s="1721"/>
      <c r="AR1032" s="68"/>
      <c r="AS1032" s="68"/>
      <c r="AT1032" s="68"/>
      <c r="AU1032" s="68"/>
      <c r="AV1032" s="68"/>
      <c r="AW1032" s="68"/>
      <c r="AX1032" s="68"/>
      <c r="AY1032" s="68"/>
    </row>
    <row r="1033" spans="1:57" ht="13.05" customHeight="1">
      <c r="A1033" s="14"/>
      <c r="B1033" s="73"/>
      <c r="C1033" s="74"/>
      <c r="D1033" s="1796" t="s">
        <v>1687</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797"/>
      <c r="AF1033" s="916"/>
      <c r="AG1033" s="917"/>
      <c r="AH1033" s="917"/>
      <c r="AI1033" s="918"/>
      <c r="AJ1033" s="1722"/>
      <c r="AK1033" s="1723"/>
      <c r="AL1033" s="1723"/>
      <c r="AM1033" s="1723"/>
      <c r="AN1033" s="1723"/>
      <c r="AO1033" s="1723"/>
      <c r="AP1033" s="1723"/>
      <c r="AQ1033" s="1724"/>
      <c r="AR1033" s="68"/>
      <c r="AS1033" s="68"/>
      <c r="AT1033" s="68"/>
      <c r="AU1033" s="68"/>
      <c r="AV1033" s="68"/>
      <c r="AW1033" s="68"/>
      <c r="AX1033" s="68"/>
      <c r="AY1033" s="68"/>
    </row>
    <row r="1034" spans="1:57" ht="13.05" customHeight="1">
      <c r="A1034" s="14"/>
      <c r="B1034" s="73"/>
      <c r="C1034" s="74"/>
      <c r="D1034" s="1796"/>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797"/>
      <c r="AF1034" s="916"/>
      <c r="AG1034" s="917"/>
      <c r="AH1034" s="917"/>
      <c r="AI1034" s="918"/>
      <c r="AJ1034" s="1722"/>
      <c r="AK1034" s="1723"/>
      <c r="AL1034" s="1723"/>
      <c r="AM1034" s="1723"/>
      <c r="AN1034" s="1723"/>
      <c r="AO1034" s="1723"/>
      <c r="AP1034" s="1723"/>
      <c r="AQ1034" s="1724"/>
      <c r="AR1034" s="68"/>
      <c r="AS1034" s="68"/>
      <c r="AT1034" s="68"/>
      <c r="AU1034" s="68"/>
      <c r="AV1034" s="68"/>
      <c r="AW1034" s="68"/>
      <c r="AX1034" s="68"/>
      <c r="AY1034" s="68"/>
    </row>
    <row r="1035" spans="1:57" ht="13.05" customHeight="1">
      <c r="A1035" s="14"/>
      <c r="B1035" s="73"/>
      <c r="C1035" s="74"/>
      <c r="D1035" s="1798"/>
      <c r="E1035" s="1799"/>
      <c r="F1035" s="1799"/>
      <c r="G1035" s="1799"/>
      <c r="H1035" s="1799"/>
      <c r="I1035" s="1799"/>
      <c r="J1035" s="1799"/>
      <c r="K1035" s="1799"/>
      <c r="L1035" s="1799"/>
      <c r="M1035" s="1799"/>
      <c r="N1035" s="1799"/>
      <c r="O1035" s="1799"/>
      <c r="P1035" s="1799"/>
      <c r="Q1035" s="1799"/>
      <c r="R1035" s="1799"/>
      <c r="S1035" s="1799"/>
      <c r="T1035" s="1799"/>
      <c r="U1035" s="1799"/>
      <c r="V1035" s="1799"/>
      <c r="W1035" s="1799"/>
      <c r="X1035" s="1799"/>
      <c r="Y1035" s="1799"/>
      <c r="Z1035" s="1799"/>
      <c r="AA1035" s="1799"/>
      <c r="AB1035" s="1799"/>
      <c r="AC1035" s="1799"/>
      <c r="AD1035" s="1799"/>
      <c r="AE1035" s="1800"/>
      <c r="AF1035" s="919"/>
      <c r="AG1035" s="920"/>
      <c r="AH1035" s="920"/>
      <c r="AI1035" s="921"/>
      <c r="AJ1035" s="1725"/>
      <c r="AK1035" s="1726"/>
      <c r="AL1035" s="1726"/>
      <c r="AM1035" s="1726"/>
      <c r="AN1035" s="1726"/>
      <c r="AO1035" s="1726"/>
      <c r="AP1035" s="1726"/>
      <c r="AQ1035" s="1727"/>
      <c r="AR1035" s="68"/>
      <c r="AS1035" s="68"/>
      <c r="AT1035" s="68"/>
      <c r="AU1035" s="68"/>
      <c r="AV1035" s="68"/>
      <c r="AW1035" s="68"/>
      <c r="AX1035" s="68"/>
      <c r="AY1035" s="68"/>
    </row>
    <row r="1036" spans="1:57" ht="13.05" customHeight="1">
      <c r="A1036" s="14"/>
      <c r="B1036" s="73"/>
      <c r="C1036" s="340" t="s">
        <v>687</v>
      </c>
      <c r="D1036" s="1728" t="s">
        <v>1688</v>
      </c>
      <c r="E1036" s="1729"/>
      <c r="F1036" s="1729"/>
      <c r="G1036" s="1729"/>
      <c r="H1036" s="1729"/>
      <c r="I1036" s="1729"/>
      <c r="J1036" s="1729"/>
      <c r="K1036" s="1729"/>
      <c r="L1036" s="1729"/>
      <c r="M1036" s="1729"/>
      <c r="N1036" s="1729"/>
      <c r="O1036" s="1729"/>
      <c r="P1036" s="1729"/>
      <c r="Q1036" s="1729"/>
      <c r="R1036" s="1729"/>
      <c r="S1036" s="1729"/>
      <c r="T1036" s="1729"/>
      <c r="U1036" s="1729"/>
      <c r="V1036" s="1729"/>
      <c r="W1036" s="1729"/>
      <c r="X1036" s="1729"/>
      <c r="Y1036" s="1729"/>
      <c r="Z1036" s="1729"/>
      <c r="AA1036" s="1729"/>
      <c r="AB1036" s="1729"/>
      <c r="AC1036" s="1729"/>
      <c r="AD1036" s="1729"/>
      <c r="AE1036" s="1730"/>
      <c r="AF1036" s="73"/>
      <c r="AG1036" s="1747" t="s">
        <v>669</v>
      </c>
      <c r="AH1036" s="1748"/>
      <c r="AI1036" s="83"/>
      <c r="AJ1036" s="1719">
        <f>ROUND(IF(AND(AG1036="yes",AJ1032=0),(AJ992*0.1),0),0)</f>
        <v>0</v>
      </c>
      <c r="AK1036" s="1720"/>
      <c r="AL1036" s="1720"/>
      <c r="AM1036" s="1720"/>
      <c r="AN1036" s="1720"/>
      <c r="AO1036" s="1720"/>
      <c r="AP1036" s="1720"/>
      <c r="AQ1036" s="1721"/>
      <c r="AR1036" s="68"/>
      <c r="AS1036" s="68"/>
      <c r="AT1036" s="68"/>
      <c r="AU1036" s="68"/>
      <c r="AV1036" s="68"/>
      <c r="AW1036" s="68"/>
      <c r="AX1036" s="68"/>
      <c r="AY1036" s="68"/>
    </row>
    <row r="1037" spans="1:57" ht="13.05" customHeight="1">
      <c r="A1037" s="14"/>
      <c r="B1037" s="73"/>
      <c r="C1037" s="74"/>
      <c r="D1037" s="1796" t="s">
        <v>1689</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797"/>
      <c r="AF1037" s="73"/>
      <c r="AG1037" s="14"/>
      <c r="AH1037" s="14"/>
      <c r="AI1037" s="83"/>
      <c r="AJ1037" s="1722"/>
      <c r="AK1037" s="1723"/>
      <c r="AL1037" s="1723"/>
      <c r="AM1037" s="1723"/>
      <c r="AN1037" s="1723"/>
      <c r="AO1037" s="1723"/>
      <c r="AP1037" s="1723"/>
      <c r="AQ1037" s="1724"/>
      <c r="AR1037" s="68"/>
      <c r="AS1037" s="68"/>
      <c r="AT1037" s="68"/>
      <c r="AU1037" s="68"/>
      <c r="AV1037" s="68"/>
      <c r="AW1037" s="68"/>
      <c r="AX1037" s="68"/>
      <c r="AY1037" s="68"/>
    </row>
    <row r="1038" spans="1:57" ht="13.05" customHeight="1">
      <c r="A1038" s="14"/>
      <c r="B1038" s="73"/>
      <c r="C1038" s="74"/>
      <c r="D1038" s="1796"/>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797"/>
      <c r="AF1038" s="73"/>
      <c r="AG1038" s="14"/>
      <c r="AH1038" s="14"/>
      <c r="AI1038" s="83"/>
      <c r="AJ1038" s="1722"/>
      <c r="AK1038" s="1723"/>
      <c r="AL1038" s="1723"/>
      <c r="AM1038" s="1723"/>
      <c r="AN1038" s="1723"/>
      <c r="AO1038" s="1723"/>
      <c r="AP1038" s="1723"/>
      <c r="AQ1038" s="1724"/>
      <c r="AR1038" s="68"/>
      <c r="AS1038" s="68"/>
      <c r="AT1038" s="68"/>
      <c r="AU1038" s="68"/>
      <c r="AV1038" s="68"/>
      <c r="AW1038" s="68"/>
      <c r="AX1038" s="68"/>
      <c r="AY1038" s="68"/>
      <c r="BA1038" s="1185">
        <f>IFERROR(('Sources and Uses Budget'!$C$17+'Sources and Uses Budget'!$C$18+'Sources and Uses Budget'!$C$22)/$AG$437,0)</f>
        <v>167853.578125</v>
      </c>
      <c r="BB1038" s="1185" t="s">
        <v>2492</v>
      </c>
      <c r="BC1038" s="1185"/>
      <c r="BD1038" s="1185"/>
      <c r="BE1038" s="1185"/>
    </row>
    <row r="1039" spans="1:57" ht="13.05" customHeight="1">
      <c r="A1039" s="14"/>
      <c r="B1039" s="73"/>
      <c r="C1039" s="74"/>
      <c r="D1039" s="1796"/>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797"/>
      <c r="AF1039" s="73"/>
      <c r="AG1039" s="14"/>
      <c r="AH1039" s="14"/>
      <c r="AI1039" s="83"/>
      <c r="AJ1039" s="1722"/>
      <c r="AK1039" s="1723"/>
      <c r="AL1039" s="1723"/>
      <c r="AM1039" s="1723"/>
      <c r="AN1039" s="1723"/>
      <c r="AO1039" s="1723"/>
      <c r="AP1039" s="1723"/>
      <c r="AQ1039" s="1724"/>
      <c r="AR1039" s="68"/>
      <c r="AS1039" s="68"/>
      <c r="AT1039" s="68"/>
      <c r="AU1039" s="68"/>
      <c r="AV1039" s="68"/>
      <c r="AW1039" s="68"/>
      <c r="AX1039" s="68"/>
      <c r="AY1039" s="68"/>
      <c r="BA1039">
        <f>IFERROR((($CI$753+$CM$753)/$AG$440),0)</f>
        <v>0.84126984126984128</v>
      </c>
      <c r="BB1039" s="3" t="s">
        <v>2496</v>
      </c>
    </row>
    <row r="1040" spans="1:57" ht="13.05" customHeight="1">
      <c r="A1040" s="14"/>
      <c r="B1040" s="73"/>
      <c r="C1040" s="74"/>
      <c r="D1040" s="1798"/>
      <c r="E1040" s="1799"/>
      <c r="F1040" s="1799"/>
      <c r="G1040" s="1799"/>
      <c r="H1040" s="1799"/>
      <c r="I1040" s="1799"/>
      <c r="J1040" s="1799"/>
      <c r="K1040" s="1799"/>
      <c r="L1040" s="1799"/>
      <c r="M1040" s="1799"/>
      <c r="N1040" s="1799"/>
      <c r="O1040" s="1799"/>
      <c r="P1040" s="1799"/>
      <c r="Q1040" s="1799"/>
      <c r="R1040" s="1799"/>
      <c r="S1040" s="1799"/>
      <c r="T1040" s="1799"/>
      <c r="U1040" s="1799"/>
      <c r="V1040" s="1799"/>
      <c r="W1040" s="1799"/>
      <c r="X1040" s="1799"/>
      <c r="Y1040" s="1799"/>
      <c r="Z1040" s="1799"/>
      <c r="AA1040" s="1799"/>
      <c r="AB1040" s="1799"/>
      <c r="AC1040" s="1799"/>
      <c r="AD1040" s="1799"/>
      <c r="AE1040" s="1800"/>
      <c r="AF1040" s="73"/>
      <c r="AG1040" s="14"/>
      <c r="AH1040" s="14"/>
      <c r="AI1040" s="83"/>
      <c r="AJ1040" s="1722"/>
      <c r="AK1040" s="1723"/>
      <c r="AL1040" s="1723"/>
      <c r="AM1040" s="1723"/>
      <c r="AN1040" s="1723"/>
      <c r="AO1040" s="1723"/>
      <c r="AP1040" s="1723"/>
      <c r="AQ1040" s="1724"/>
      <c r="AR1040" s="68"/>
      <c r="AS1040" s="68"/>
      <c r="AT1040" s="68"/>
      <c r="AU1040" s="68"/>
      <c r="AV1040" s="68"/>
      <c r="AW1040" s="68"/>
      <c r="AX1040" s="68"/>
      <c r="AY1040" s="68"/>
      <c r="BA1040" t="b">
        <f>'Points System'!AJ164="Yes"</f>
        <v>0</v>
      </c>
      <c r="BB1040" s="3" t="s">
        <v>2493</v>
      </c>
    </row>
    <row r="1041" spans="1:56" ht="13.05" customHeight="1">
      <c r="A1041" s="14"/>
      <c r="B1041" s="79"/>
      <c r="C1041" s="131" t="s">
        <v>1010</v>
      </c>
      <c r="D1041" s="1759" t="s">
        <v>1297</v>
      </c>
      <c r="E1041" s="1760"/>
      <c r="F1041" s="1760"/>
      <c r="G1041" s="1760"/>
      <c r="H1041" s="1760"/>
      <c r="I1041" s="1760"/>
      <c r="J1041" s="1760"/>
      <c r="K1041" s="1760"/>
      <c r="L1041" s="1760"/>
      <c r="M1041" s="1760"/>
      <c r="N1041" s="1760"/>
      <c r="O1041" s="1760"/>
      <c r="P1041" s="1760"/>
      <c r="Q1041" s="1760"/>
      <c r="R1041" s="1760"/>
      <c r="S1041" s="1760"/>
      <c r="T1041" s="1760"/>
      <c r="U1041" s="1760"/>
      <c r="V1041" s="1760"/>
      <c r="W1041" s="1760"/>
      <c r="X1041" s="1760"/>
      <c r="Y1041" s="1760"/>
      <c r="Z1041" s="1760"/>
      <c r="AA1041" s="1760"/>
      <c r="AB1041" s="1760"/>
      <c r="AC1041" s="1760"/>
      <c r="AD1041" s="1760"/>
      <c r="AE1041" s="1761"/>
      <c r="AF1041" s="79"/>
      <c r="AG1041" s="1745" t="s">
        <v>669</v>
      </c>
      <c r="AH1041" s="1746"/>
      <c r="AI1041" s="87"/>
      <c r="AJ1041" s="1719">
        <f>ROUND(IF(AG1041="yes",(AJ992*0.1),0),0)</f>
        <v>0</v>
      </c>
      <c r="AK1041" s="1720"/>
      <c r="AL1041" s="1720"/>
      <c r="AM1041" s="1720"/>
      <c r="AN1041" s="1720"/>
      <c r="AO1041" s="1720"/>
      <c r="AP1041" s="1720"/>
      <c r="AQ1041" s="1721"/>
      <c r="AR1041" s="68"/>
      <c r="AS1041" s="68"/>
      <c r="AT1041" s="68"/>
      <c r="AU1041" s="68"/>
      <c r="AV1041" s="68"/>
      <c r="AW1041" s="68"/>
      <c r="AX1041" s="68"/>
      <c r="AY1041" s="68"/>
      <c r="BA1041">
        <f>Q212</f>
        <v>0</v>
      </c>
      <c r="BB1041" s="3" t="s">
        <v>2494</v>
      </c>
    </row>
    <row r="1042" spans="1:56" ht="13.05" customHeight="1">
      <c r="A1042" s="14"/>
      <c r="B1042" s="73"/>
      <c r="C1042" s="74"/>
      <c r="D1042" s="1690" t="s">
        <v>2146</v>
      </c>
      <c r="E1042" s="1691"/>
      <c r="F1042" s="1691"/>
      <c r="G1042" s="1691"/>
      <c r="H1042" s="1691"/>
      <c r="I1042" s="1691"/>
      <c r="J1042" s="1691"/>
      <c r="K1042" s="1691"/>
      <c r="L1042" s="1691"/>
      <c r="M1042" s="1691"/>
      <c r="N1042" s="1691"/>
      <c r="O1042" s="1691"/>
      <c r="P1042" s="1691"/>
      <c r="Q1042" s="1691"/>
      <c r="R1042" s="1691"/>
      <c r="S1042" s="1691"/>
      <c r="T1042" s="1691"/>
      <c r="U1042" s="1691"/>
      <c r="V1042" s="1691"/>
      <c r="W1042" s="1691"/>
      <c r="X1042" s="1691"/>
      <c r="Y1042" s="1691"/>
      <c r="Z1042" s="1691"/>
      <c r="AA1042" s="1691"/>
      <c r="AB1042" s="1691"/>
      <c r="AC1042" s="1691"/>
      <c r="AD1042" s="1691"/>
      <c r="AE1042" s="1692"/>
      <c r="AF1042" s="73"/>
      <c r="AG1042" s="14"/>
      <c r="AH1042" s="14"/>
      <c r="AI1042" s="83"/>
      <c r="AJ1042" s="1722"/>
      <c r="AK1042" s="1723"/>
      <c r="AL1042" s="1723"/>
      <c r="AM1042" s="1723"/>
      <c r="AN1042" s="1723"/>
      <c r="AO1042" s="1723"/>
      <c r="AP1042" s="1723"/>
      <c r="AQ1042" s="1724"/>
      <c r="AR1042" s="68"/>
      <c r="AS1042" s="68"/>
      <c r="AT1042" s="68"/>
      <c r="AU1042" s="68"/>
      <c r="AV1042" s="68"/>
      <c r="AW1042" s="68"/>
      <c r="AX1042" s="68"/>
      <c r="AY1042" s="68"/>
      <c r="BA1042" s="1186">
        <f>T212</f>
        <v>0</v>
      </c>
      <c r="BB1042" s="3" t="s">
        <v>2495</v>
      </c>
    </row>
    <row r="1043" spans="1:56" ht="13.05" customHeight="1">
      <c r="A1043" s="14"/>
      <c r="B1043" s="73"/>
      <c r="C1043" s="74"/>
      <c r="D1043" s="1690"/>
      <c r="E1043" s="1691"/>
      <c r="F1043" s="1691"/>
      <c r="G1043" s="1691"/>
      <c r="H1043" s="1691"/>
      <c r="I1043" s="1691"/>
      <c r="J1043" s="1691"/>
      <c r="K1043" s="1691"/>
      <c r="L1043" s="1691"/>
      <c r="M1043" s="1691"/>
      <c r="N1043" s="1691"/>
      <c r="O1043" s="1691"/>
      <c r="P1043" s="1691"/>
      <c r="Q1043" s="1691"/>
      <c r="R1043" s="1691"/>
      <c r="S1043" s="1691"/>
      <c r="T1043" s="1691"/>
      <c r="U1043" s="1691"/>
      <c r="V1043" s="1691"/>
      <c r="W1043" s="1691"/>
      <c r="X1043" s="1691"/>
      <c r="Y1043" s="1691"/>
      <c r="Z1043" s="1691"/>
      <c r="AA1043" s="1691"/>
      <c r="AB1043" s="1691"/>
      <c r="AC1043" s="1691"/>
      <c r="AD1043" s="1691"/>
      <c r="AE1043" s="1692"/>
      <c r="AF1043" s="73"/>
      <c r="AG1043" s="14"/>
      <c r="AH1043" s="14"/>
      <c r="AI1043" s="83"/>
      <c r="AJ1043" s="1722"/>
      <c r="AK1043" s="1723"/>
      <c r="AL1043" s="1723"/>
      <c r="AM1043" s="1723"/>
      <c r="AN1043" s="1723"/>
      <c r="AO1043" s="1723"/>
      <c r="AP1043" s="1723"/>
      <c r="AQ1043" s="1724"/>
      <c r="AR1043" s="68"/>
      <c r="AS1043" s="68"/>
      <c r="AT1043" s="68"/>
      <c r="AU1043" s="68"/>
      <c r="AV1043" s="68"/>
      <c r="AW1043" s="68"/>
      <c r="AX1043" s="68"/>
      <c r="AY1043" s="68"/>
    </row>
    <row r="1044" spans="1:56" ht="13.05" customHeight="1">
      <c r="A1044" s="14"/>
      <c r="B1044" s="73"/>
      <c r="C1044" s="74"/>
      <c r="D1044" s="1737"/>
      <c r="E1044" s="1738"/>
      <c r="F1044" s="1738"/>
      <c r="G1044" s="1738"/>
      <c r="H1044" s="1738"/>
      <c r="I1044" s="1738"/>
      <c r="J1044" s="1738"/>
      <c r="K1044" s="1738"/>
      <c r="L1044" s="1738"/>
      <c r="M1044" s="1738"/>
      <c r="N1044" s="1738"/>
      <c r="O1044" s="1738"/>
      <c r="P1044" s="1738"/>
      <c r="Q1044" s="1738"/>
      <c r="R1044" s="1738"/>
      <c r="S1044" s="1738"/>
      <c r="T1044" s="1738"/>
      <c r="U1044" s="1738"/>
      <c r="V1044" s="1738"/>
      <c r="W1044" s="1738"/>
      <c r="X1044" s="1738"/>
      <c r="Y1044" s="1738"/>
      <c r="Z1044" s="1738"/>
      <c r="AA1044" s="1738"/>
      <c r="AB1044" s="1738"/>
      <c r="AC1044" s="1738"/>
      <c r="AD1044" s="1738"/>
      <c r="AE1044" s="1739"/>
      <c r="AF1044" s="73"/>
      <c r="AG1044" s="14"/>
      <c r="AH1044" s="14"/>
      <c r="AI1044" s="83"/>
      <c r="AJ1044" s="1725"/>
      <c r="AK1044" s="1726"/>
      <c r="AL1044" s="1726"/>
      <c r="AM1044" s="1726"/>
      <c r="AN1044" s="1726"/>
      <c r="AO1044" s="1726"/>
      <c r="AP1044" s="1726"/>
      <c r="AQ1044" s="1727"/>
      <c r="AR1044" s="68"/>
      <c r="AS1044" s="68"/>
      <c r="AT1044" s="68"/>
      <c r="AU1044" s="68"/>
      <c r="AV1044" s="68"/>
      <c r="AW1044" s="68"/>
      <c r="AX1044" s="68"/>
      <c r="AY1044" s="68"/>
    </row>
    <row r="1045" spans="1:56" ht="13.05" customHeight="1">
      <c r="A1045" s="14"/>
      <c r="B1045" s="79"/>
      <c r="C1045" s="131" t="s">
        <v>1684</v>
      </c>
      <c r="D1045" s="1728" t="s">
        <v>1865</v>
      </c>
      <c r="E1045" s="1729"/>
      <c r="F1045" s="1729"/>
      <c r="G1045" s="1729"/>
      <c r="H1045" s="1729"/>
      <c r="I1045" s="1729"/>
      <c r="J1045" s="1729"/>
      <c r="K1045" s="1729"/>
      <c r="L1045" s="1729"/>
      <c r="M1045" s="1729"/>
      <c r="N1045" s="1729"/>
      <c r="O1045" s="1729"/>
      <c r="P1045" s="1729"/>
      <c r="Q1045" s="1729"/>
      <c r="R1045" s="1729"/>
      <c r="S1045" s="1729"/>
      <c r="T1045" s="1729"/>
      <c r="U1045" s="1729"/>
      <c r="V1045" s="1729"/>
      <c r="W1045" s="1729"/>
      <c r="X1045" s="1729"/>
      <c r="Y1045" s="1729"/>
      <c r="Z1045" s="1729"/>
      <c r="AA1045" s="1729"/>
      <c r="AB1045" s="1729"/>
      <c r="AC1045" s="1729"/>
      <c r="AD1045" s="1729"/>
      <c r="AE1045" s="1730"/>
      <c r="AF1045" s="79"/>
      <c r="AG1045" s="1743" t="str">
        <f>IF(X1048&gt;0,"Yes","No")</f>
        <v>Yes</v>
      </c>
      <c r="AH1045" s="1744"/>
      <c r="AI1045" s="87"/>
      <c r="AJ1045" s="1719">
        <f>IF((X1048=0),0,AY1005*AJ992)</f>
        <v>22035117.800000001</v>
      </c>
      <c r="AK1045" s="1720"/>
      <c r="AL1045" s="1720"/>
      <c r="AM1045" s="1720"/>
      <c r="AN1045" s="1720"/>
      <c r="AO1045" s="1720"/>
      <c r="AP1045" s="1720"/>
      <c r="AQ1045" s="1721"/>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05" customHeight="1">
      <c r="A1046" s="14"/>
      <c r="B1046" s="73"/>
      <c r="C1046" s="443"/>
      <c r="D1046" s="1690" t="s">
        <v>1299</v>
      </c>
      <c r="E1046" s="1691"/>
      <c r="F1046" s="1691"/>
      <c r="G1046" s="1691"/>
      <c r="H1046" s="1691"/>
      <c r="I1046" s="1691"/>
      <c r="J1046" s="1691"/>
      <c r="K1046" s="1691"/>
      <c r="L1046" s="1691"/>
      <c r="M1046" s="1691"/>
      <c r="N1046" s="1691"/>
      <c r="O1046" s="1691"/>
      <c r="P1046" s="1691"/>
      <c r="Q1046" s="1691"/>
      <c r="R1046" s="1691"/>
      <c r="S1046" s="1691"/>
      <c r="T1046" s="1691"/>
      <c r="U1046" s="1691"/>
      <c r="V1046" s="1691"/>
      <c r="W1046" s="1691"/>
      <c r="X1046" s="1691"/>
      <c r="Y1046" s="1691"/>
      <c r="Z1046" s="1691"/>
      <c r="AA1046" s="1691"/>
      <c r="AB1046" s="1691"/>
      <c r="AC1046" s="1691"/>
      <c r="AD1046" s="1691"/>
      <c r="AE1046" s="1692"/>
      <c r="AF1046" s="73"/>
      <c r="AG1046" s="444"/>
      <c r="AH1046" s="444"/>
      <c r="AI1046" s="83"/>
      <c r="AJ1046" s="1722"/>
      <c r="AK1046" s="1723"/>
      <c r="AL1046" s="1723"/>
      <c r="AM1046" s="1723"/>
      <c r="AN1046" s="1723"/>
      <c r="AO1046" s="1723"/>
      <c r="AP1046" s="1723"/>
      <c r="AQ1046" s="1724"/>
      <c r="AR1046" s="68"/>
      <c r="AS1046" s="68"/>
      <c r="AT1046" s="68"/>
      <c r="AU1046" s="13"/>
      <c r="AV1046" s="68"/>
      <c r="AW1046" s="68"/>
      <c r="AX1046" s="68"/>
      <c r="AY1046" s="68"/>
      <c r="AZ1046" s="963">
        <f>'Sources and Uses Budget'!S97*BA1046</f>
        <v>2718530.3249999997</v>
      </c>
      <c r="BA1046" s="1184">
        <f>IF(BA1040,20%,15%)</f>
        <v>0.15</v>
      </c>
      <c r="BB1046" s="3" t="s">
        <v>2482</v>
      </c>
      <c r="BC1046" s="3" t="s">
        <v>2483</v>
      </c>
      <c r="BD1046" s="3"/>
    </row>
    <row r="1047" spans="1:56" ht="13.05" customHeight="1">
      <c r="A1047" s="14"/>
      <c r="B1047" s="73"/>
      <c r="C1047" s="443"/>
      <c r="D1047" s="1690"/>
      <c r="E1047" s="1691"/>
      <c r="F1047" s="1691"/>
      <c r="G1047" s="1691"/>
      <c r="H1047" s="1691"/>
      <c r="I1047" s="1691"/>
      <c r="J1047" s="1691"/>
      <c r="K1047" s="1691"/>
      <c r="L1047" s="1691"/>
      <c r="M1047" s="1691"/>
      <c r="N1047" s="1691"/>
      <c r="O1047" s="1691"/>
      <c r="P1047" s="1691"/>
      <c r="Q1047" s="1691"/>
      <c r="R1047" s="1691"/>
      <c r="S1047" s="1691"/>
      <c r="T1047" s="1691"/>
      <c r="U1047" s="1691"/>
      <c r="V1047" s="1691"/>
      <c r="W1047" s="1691"/>
      <c r="X1047" s="1691"/>
      <c r="Y1047" s="1691"/>
      <c r="Z1047" s="1691"/>
      <c r="AA1047" s="1691"/>
      <c r="AB1047" s="1691"/>
      <c r="AC1047" s="1691"/>
      <c r="AD1047" s="1691"/>
      <c r="AE1047" s="1692"/>
      <c r="AF1047" s="73"/>
      <c r="AG1047" s="444"/>
      <c r="AH1047" s="444"/>
      <c r="AI1047" s="83"/>
      <c r="AJ1047" s="1722"/>
      <c r="AK1047" s="1723"/>
      <c r="AL1047" s="1723"/>
      <c r="AM1047" s="1723"/>
      <c r="AN1047" s="1723"/>
      <c r="AO1047" s="1723"/>
      <c r="AP1047" s="1723"/>
      <c r="AQ1047" s="1724"/>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05" customHeight="1">
      <c r="A1048" s="14"/>
      <c r="B1048" s="77"/>
      <c r="C1048" s="78"/>
      <c r="D1048" s="132" t="s">
        <v>972</v>
      </c>
      <c r="E1048" s="133"/>
      <c r="F1048" s="133"/>
      <c r="G1048" s="133"/>
      <c r="H1048" s="133"/>
      <c r="I1048" s="1782">
        <f>AY1003</f>
        <v>63</v>
      </c>
      <c r="J1048" s="1783"/>
      <c r="K1048" s="7"/>
      <c r="L1048" s="133"/>
      <c r="M1048" s="133"/>
      <c r="N1048" s="133"/>
      <c r="O1048" s="133"/>
      <c r="P1048" s="133"/>
      <c r="Q1048" s="133"/>
      <c r="R1048" s="133"/>
      <c r="S1048" s="133"/>
      <c r="T1048" s="133"/>
      <c r="U1048" s="133"/>
      <c r="V1048" s="134" t="s">
        <v>973</v>
      </c>
      <c r="W1048" s="48"/>
      <c r="X1048" s="1780">
        <f>CI753</f>
        <v>43</v>
      </c>
      <c r="Y1048" s="1781"/>
      <c r="Z1048" s="48"/>
      <c r="AA1048" s="48"/>
      <c r="AB1048" s="48"/>
      <c r="AC1048" s="48"/>
      <c r="AD1048" s="48"/>
      <c r="AE1048" s="49"/>
      <c r="AF1048" s="925"/>
      <c r="AG1048" s="926"/>
      <c r="AH1048" s="926"/>
      <c r="AI1048" s="927"/>
      <c r="AJ1048" s="1725"/>
      <c r="AK1048" s="1726"/>
      <c r="AL1048" s="1726"/>
      <c r="AM1048" s="1726"/>
      <c r="AN1048" s="1726"/>
      <c r="AO1048" s="1726"/>
      <c r="AP1048" s="1726"/>
      <c r="AQ1048" s="1727"/>
      <c r="AR1048" s="68"/>
      <c r="AS1048" s="68"/>
      <c r="AT1048" s="68"/>
      <c r="AU1048" s="14"/>
      <c r="AV1048" s="68"/>
      <c r="AW1048" s="68"/>
      <c r="AX1048" s="68"/>
      <c r="AY1048" s="68"/>
      <c r="AZ1048" s="963">
        <f>IF(M358="N/A",0,'Sources and Uses Budget'!T97*BA1048)</f>
        <v>1762970.7</v>
      </c>
      <c r="BA1048" s="1184" cm="1">
        <f t="array" ref="BA1048">_xlfn.IFS(X180="Yes",5%,$BA$1038&gt;50000,15%,BA1039&gt;=30%,15%,TRUE,5%)</f>
        <v>0.15</v>
      </c>
      <c r="BB1048" s="3" t="s">
        <v>2482</v>
      </c>
      <c r="BC1048" s="3" t="s">
        <v>2485</v>
      </c>
      <c r="BD1048" s="3"/>
    </row>
    <row r="1049" spans="1:56" ht="13.05" customHeight="1">
      <c r="A1049" s="14"/>
      <c r="B1049" s="79"/>
      <c r="C1049" s="131" t="s">
        <v>1685</v>
      </c>
      <c r="D1049" s="1759" t="s">
        <v>2172</v>
      </c>
      <c r="E1049" s="1760"/>
      <c r="F1049" s="1760"/>
      <c r="G1049" s="1760"/>
      <c r="H1049" s="1760"/>
      <c r="I1049" s="1760"/>
      <c r="J1049" s="1760"/>
      <c r="K1049" s="1760"/>
      <c r="L1049" s="1760"/>
      <c r="M1049" s="1760"/>
      <c r="N1049" s="1760"/>
      <c r="O1049" s="1760"/>
      <c r="P1049" s="1760"/>
      <c r="Q1049" s="1760"/>
      <c r="R1049" s="1760"/>
      <c r="S1049" s="1760"/>
      <c r="T1049" s="1760"/>
      <c r="U1049" s="1760"/>
      <c r="V1049" s="1760"/>
      <c r="W1049" s="1760"/>
      <c r="X1049" s="1760"/>
      <c r="Y1049" s="1760"/>
      <c r="Z1049" s="1760"/>
      <c r="AA1049" s="1760"/>
      <c r="AB1049" s="1760"/>
      <c r="AC1049" s="1760"/>
      <c r="AD1049" s="1760"/>
      <c r="AE1049" s="1761"/>
      <c r="AF1049" s="73"/>
      <c r="AG1049" s="1743" t="str">
        <f>IF(X1052&gt;0,"Yes","No")</f>
        <v>Yes</v>
      </c>
      <c r="AH1049" s="1744"/>
      <c r="AI1049" s="83"/>
      <c r="AJ1049" s="1719">
        <f>IF((X1052=0),0,(2*AY1006)*AJ992)</f>
        <v>9721375.5</v>
      </c>
      <c r="AK1049" s="1720"/>
      <c r="AL1049" s="1720"/>
      <c r="AM1049" s="1720"/>
      <c r="AN1049" s="1720"/>
      <c r="AO1049" s="1720"/>
      <c r="AP1049" s="1720"/>
      <c r="AQ1049" s="1721"/>
      <c r="AR1049" s="68"/>
      <c r="AS1049" s="68"/>
      <c r="AT1049" s="68"/>
      <c r="AU1049" s="14"/>
      <c r="AV1049" s="68"/>
      <c r="AW1049" s="68"/>
      <c r="AX1049" s="68"/>
      <c r="AY1049" s="68"/>
      <c r="AZ1049" s="963">
        <f>AZ1045*BA1049</f>
        <v>0</v>
      </c>
      <c r="BA1049" s="1184">
        <v>0.15</v>
      </c>
      <c r="BB1049" s="3" t="s">
        <v>2482</v>
      </c>
      <c r="BC1049" s="3" t="s">
        <v>2486</v>
      </c>
      <c r="BD1049" s="3"/>
    </row>
    <row r="1050" spans="1:56" ht="13.05" customHeight="1">
      <c r="A1050" s="14"/>
      <c r="B1050" s="73"/>
      <c r="C1050" s="443"/>
      <c r="D1050" s="1690" t="s">
        <v>1298</v>
      </c>
      <c r="E1050" s="1691"/>
      <c r="F1050" s="1691"/>
      <c r="G1050" s="1691"/>
      <c r="H1050" s="1691"/>
      <c r="I1050" s="1691"/>
      <c r="J1050" s="1691"/>
      <c r="K1050" s="1691"/>
      <c r="L1050" s="1691"/>
      <c r="M1050" s="1691"/>
      <c r="N1050" s="1691"/>
      <c r="O1050" s="1691"/>
      <c r="P1050" s="1691"/>
      <c r="Q1050" s="1691"/>
      <c r="R1050" s="1691"/>
      <c r="S1050" s="1691"/>
      <c r="T1050" s="1691"/>
      <c r="U1050" s="1691"/>
      <c r="V1050" s="1691"/>
      <c r="W1050" s="1691"/>
      <c r="X1050" s="1691"/>
      <c r="Y1050" s="1691"/>
      <c r="Z1050" s="1691"/>
      <c r="AA1050" s="1691"/>
      <c r="AB1050" s="1691"/>
      <c r="AC1050" s="1691"/>
      <c r="AD1050" s="1691"/>
      <c r="AE1050" s="1692"/>
      <c r="AF1050" s="73"/>
      <c r="AG1050" s="444"/>
      <c r="AH1050" s="444"/>
      <c r="AI1050" s="83"/>
      <c r="AJ1050" s="1722"/>
      <c r="AK1050" s="1723"/>
      <c r="AL1050" s="1723"/>
      <c r="AM1050" s="1723"/>
      <c r="AN1050" s="1723"/>
      <c r="AO1050" s="1723"/>
      <c r="AP1050" s="1723"/>
      <c r="AQ1050" s="1724"/>
      <c r="AR1050" s="68"/>
      <c r="AS1050" s="68"/>
      <c r="AT1050" s="68"/>
      <c r="AU1050" s="68"/>
      <c r="AV1050" s="68"/>
      <c r="AW1050" s="68"/>
      <c r="AX1050" s="68"/>
      <c r="AY1050" s="68"/>
      <c r="AZ1050" s="963"/>
      <c r="BA1050" s="3"/>
      <c r="BB1050" s="3"/>
      <c r="BC1050" s="3"/>
      <c r="BD1050" s="3"/>
    </row>
    <row r="1051" spans="1:56" ht="13.05" customHeight="1">
      <c r="A1051" s="14"/>
      <c r="B1051" s="73"/>
      <c r="C1051" s="83"/>
      <c r="D1051" s="1690"/>
      <c r="E1051" s="1691"/>
      <c r="F1051" s="1691"/>
      <c r="G1051" s="1691"/>
      <c r="H1051" s="1691"/>
      <c r="I1051" s="1691"/>
      <c r="J1051" s="1691"/>
      <c r="K1051" s="1691"/>
      <c r="L1051" s="1691"/>
      <c r="M1051" s="1691"/>
      <c r="N1051" s="1691"/>
      <c r="O1051" s="1691"/>
      <c r="P1051" s="1691"/>
      <c r="Q1051" s="1691"/>
      <c r="R1051" s="1691"/>
      <c r="S1051" s="1691"/>
      <c r="T1051" s="1691"/>
      <c r="U1051" s="1691"/>
      <c r="V1051" s="1691"/>
      <c r="W1051" s="1691"/>
      <c r="X1051" s="1691"/>
      <c r="Y1051" s="1691"/>
      <c r="Z1051" s="1691"/>
      <c r="AA1051" s="1691"/>
      <c r="AB1051" s="1691"/>
      <c r="AC1051" s="1691"/>
      <c r="AD1051" s="1691"/>
      <c r="AE1051" s="1692"/>
      <c r="AF1051" s="922"/>
      <c r="AG1051" s="923"/>
      <c r="AH1051" s="923"/>
      <c r="AI1051" s="924"/>
      <c r="AJ1051" s="1722"/>
      <c r="AK1051" s="1723"/>
      <c r="AL1051" s="1723"/>
      <c r="AM1051" s="1723"/>
      <c r="AN1051" s="1723"/>
      <c r="AO1051" s="1723"/>
      <c r="AP1051" s="1723"/>
      <c r="AQ1051" s="1724"/>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05" customHeight="1">
      <c r="A1052" s="14"/>
      <c r="B1052" s="77"/>
      <c r="C1052" s="78"/>
      <c r="D1052" s="132" t="s">
        <v>972</v>
      </c>
      <c r="E1052" s="133"/>
      <c r="F1052" s="133"/>
      <c r="G1052" s="133"/>
      <c r="H1052" s="133"/>
      <c r="I1052" s="1782">
        <f>AY1003</f>
        <v>63</v>
      </c>
      <c r="J1052" s="1783"/>
      <c r="K1052" s="14"/>
      <c r="L1052" s="133"/>
      <c r="M1052" s="133"/>
      <c r="N1052" s="133"/>
      <c r="O1052" s="133"/>
      <c r="P1052" s="133"/>
      <c r="Q1052" s="133"/>
      <c r="R1052" s="133"/>
      <c r="S1052" s="133"/>
      <c r="T1052" s="133"/>
      <c r="U1052" s="133"/>
      <c r="V1052" s="134" t="s">
        <v>974</v>
      </c>
      <c r="X1052" s="1780">
        <f>CM753</f>
        <v>10</v>
      </c>
      <c r="Y1052" s="1781"/>
      <c r="AF1052" s="925"/>
      <c r="AG1052" s="926"/>
      <c r="AH1052" s="926"/>
      <c r="AI1052" s="927"/>
      <c r="AJ1052" s="1725"/>
      <c r="AK1052" s="1726"/>
      <c r="AL1052" s="1726"/>
      <c r="AM1052" s="1726"/>
      <c r="AN1052" s="1726"/>
      <c r="AO1052" s="1726"/>
      <c r="AP1052" s="1726"/>
      <c r="AQ1052" s="1727"/>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05" customHeight="1">
      <c r="A1053" s="14"/>
      <c r="B1053" s="102"/>
      <c r="C1053" s="103"/>
      <c r="D1053" s="1778" t="s">
        <v>513</v>
      </c>
      <c r="E1053" s="1778"/>
      <c r="F1053" s="1778"/>
      <c r="G1053" s="1778"/>
      <c r="H1053" s="1778"/>
      <c r="I1053" s="1778"/>
      <c r="J1053" s="1778"/>
      <c r="K1053" s="1778"/>
      <c r="L1053" s="1778"/>
      <c r="M1053" s="1778"/>
      <c r="N1053" s="1778"/>
      <c r="O1053" s="1778"/>
      <c r="P1053" s="1778"/>
      <c r="Q1053" s="1778"/>
      <c r="R1053" s="1778"/>
      <c r="S1053" s="1778"/>
      <c r="T1053" s="1778"/>
      <c r="U1053" s="1778"/>
      <c r="V1053" s="1778"/>
      <c r="W1053" s="1778"/>
      <c r="X1053" s="1778"/>
      <c r="Y1053" s="1778"/>
      <c r="Z1053" s="1778"/>
      <c r="AA1053" s="1778"/>
      <c r="AB1053" s="1778"/>
      <c r="AC1053" s="1778"/>
      <c r="AD1053" s="1778"/>
      <c r="AE1053" s="1778"/>
      <c r="AF1053" s="1778"/>
      <c r="AG1053" s="1778"/>
      <c r="AH1053" s="1778"/>
      <c r="AI1053" s="1779"/>
      <c r="AJ1053" s="1793">
        <f>SUM(AJ992:AQ1052)</f>
        <v>73882454.299999997</v>
      </c>
      <c r="AK1053" s="1794"/>
      <c r="AL1053" s="1794"/>
      <c r="AM1053" s="1794"/>
      <c r="AN1053" s="1794"/>
      <c r="AO1053" s="1794"/>
      <c r="AP1053" s="1794"/>
      <c r="AQ1053" s="1795"/>
      <c r="AR1053" s="68"/>
      <c r="AS1053" s="68"/>
      <c r="AT1053" s="68"/>
      <c r="AU1053" s="68"/>
      <c r="AV1053" s="68"/>
      <c r="AW1053" s="68"/>
      <c r="AX1053" s="68"/>
      <c r="AY1053" s="68"/>
      <c r="AZ1053" s="1183">
        <v>6000000</v>
      </c>
      <c r="BA1053" s="3" t="s">
        <v>2489</v>
      </c>
      <c r="BB1053" s="3"/>
      <c r="BC1053" s="3"/>
      <c r="BD1053" s="3"/>
    </row>
    <row r="1054" spans="1:56" ht="13.0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0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34358173.5</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4481501.0249999994</v>
      </c>
      <c r="BB1056" s="3" t="s">
        <v>2491</v>
      </c>
      <c r="BC1056" s="3"/>
      <c r="BD1056" s="3"/>
    </row>
    <row r="1057" spans="1:54" ht="13.0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0.76856818767885204</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4481500</v>
      </c>
      <c r="BB1058" s="3" t="s">
        <v>2497</v>
      </c>
    </row>
    <row r="1059" spans="1:54" ht="13.05"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1981500</v>
      </c>
      <c r="BB1059" s="3" t="s">
        <v>2498</v>
      </c>
    </row>
    <row r="1060" spans="1:54" ht="13.05"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3.05" customHeight="1">
      <c r="A1061" s="1831" t="s">
        <v>794</v>
      </c>
      <c r="B1061" s="1831"/>
      <c r="C1061" s="1831"/>
      <c r="D1061" s="1831"/>
      <c r="E1061" s="1831"/>
      <c r="F1061" s="1831"/>
      <c r="G1061" s="1831"/>
      <c r="H1061" s="1831"/>
      <c r="I1061" s="1831"/>
      <c r="J1061" s="1831"/>
      <c r="K1061" s="1831"/>
      <c r="L1061" s="1831"/>
      <c r="M1061" s="1831"/>
      <c r="N1061" s="1831"/>
      <c r="O1061" s="1831"/>
      <c r="P1061" s="1831"/>
      <c r="Q1061" s="1831"/>
      <c r="R1061" s="1831"/>
      <c r="S1061" s="1831"/>
      <c r="T1061" s="1831"/>
      <c r="U1061" s="1831"/>
      <c r="V1061" s="1831"/>
      <c r="W1061" s="1831"/>
      <c r="X1061" s="1831"/>
      <c r="Y1061" s="1831"/>
      <c r="Z1061" s="1831"/>
      <c r="AA1061" s="1831"/>
      <c r="AB1061" s="1831"/>
      <c r="AC1061" s="1831"/>
      <c r="AD1061" s="1831"/>
      <c r="AE1061" s="1831"/>
      <c r="AF1061" s="1831"/>
      <c r="AG1061" s="1831"/>
      <c r="AH1061" s="1831"/>
      <c r="AI1061" s="1831"/>
      <c r="AJ1061" s="1831"/>
      <c r="AK1061" s="1831"/>
      <c r="AL1061" s="1831"/>
      <c r="AM1061" s="1831"/>
      <c r="AN1061" s="1831"/>
      <c r="AO1061" s="1831"/>
      <c r="AP1061" s="1831"/>
      <c r="AQ1061" s="1831"/>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414" t="s">
        <v>591</v>
      </c>
      <c r="B1065" s="1414"/>
      <c r="C1065" s="1851">
        <v>1</v>
      </c>
      <c r="D1065" s="1851"/>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851"/>
      <c r="D1066" s="185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414" t="s">
        <v>591</v>
      </c>
      <c r="B1067" s="1414"/>
      <c r="C1067" s="1851">
        <v>2</v>
      </c>
      <c r="D1067" s="1851"/>
      <c r="E1067" s="1854" t="s">
        <v>2241</v>
      </c>
      <c r="F1067" s="1854"/>
      <c r="G1067" s="1854"/>
      <c r="H1067" s="1854"/>
      <c r="I1067" s="1854"/>
      <c r="J1067" s="1854"/>
      <c r="K1067" s="1854"/>
      <c r="L1067" s="1854"/>
      <c r="M1067" s="1854"/>
      <c r="N1067" s="1854"/>
      <c r="O1067" s="1854"/>
      <c r="P1067" s="1854"/>
      <c r="Q1067" s="1854"/>
      <c r="R1067" s="1854"/>
      <c r="S1067" s="1854"/>
      <c r="T1067" s="1854"/>
      <c r="U1067" s="1854"/>
      <c r="V1067" s="1854"/>
      <c r="W1067" s="1854"/>
      <c r="X1067" s="1854"/>
      <c r="Y1067" s="1854"/>
      <c r="Z1067" s="1854"/>
      <c r="AA1067" s="1854"/>
      <c r="AB1067" s="1854"/>
      <c r="AC1067" s="1854"/>
      <c r="AD1067" s="1854"/>
      <c r="AE1067" s="1854"/>
      <c r="AF1067" s="1854"/>
      <c r="AG1067" s="1854"/>
      <c r="AH1067" s="1854"/>
      <c r="AI1067" s="1854"/>
      <c r="AJ1067" s="1854"/>
      <c r="AK1067" s="1854"/>
      <c r="AL1067" s="1854"/>
      <c r="AM1067" s="1854"/>
      <c r="AN1067" s="1854"/>
      <c r="AO1067" s="1854"/>
      <c r="AP1067" s="1854"/>
      <c r="AQ1067" s="1854"/>
      <c r="AR1067" s="1854"/>
      <c r="AS1067" s="14"/>
      <c r="AT1067" s="14"/>
      <c r="AV1067" s="68"/>
      <c r="AW1067" s="68"/>
      <c r="AX1067" s="68"/>
      <c r="AY1067" s="68"/>
    </row>
    <row r="1068" spans="1:54" ht="13.05" customHeight="1">
      <c r="A1068" s="198"/>
      <c r="B1068" s="67"/>
      <c r="C1068" s="1851"/>
      <c r="D1068" s="1851"/>
      <c r="E1068" s="1854"/>
      <c r="F1068" s="1854"/>
      <c r="G1068" s="1854"/>
      <c r="H1068" s="1854"/>
      <c r="I1068" s="1854"/>
      <c r="J1068" s="1854"/>
      <c r="K1068" s="1854"/>
      <c r="L1068" s="1854"/>
      <c r="M1068" s="1854"/>
      <c r="N1068" s="1854"/>
      <c r="O1068" s="1854"/>
      <c r="P1068" s="1854"/>
      <c r="Q1068" s="1854"/>
      <c r="R1068" s="1854"/>
      <c r="S1068" s="1854"/>
      <c r="T1068" s="1854"/>
      <c r="U1068" s="1854"/>
      <c r="V1068" s="1854"/>
      <c r="W1068" s="1854"/>
      <c r="X1068" s="1854"/>
      <c r="Y1068" s="1854"/>
      <c r="Z1068" s="1854"/>
      <c r="AA1068" s="1854"/>
      <c r="AB1068" s="1854"/>
      <c r="AC1068" s="1854"/>
      <c r="AD1068" s="1854"/>
      <c r="AE1068" s="1854"/>
      <c r="AF1068" s="1854"/>
      <c r="AG1068" s="1854"/>
      <c r="AH1068" s="1854"/>
      <c r="AI1068" s="1854"/>
      <c r="AJ1068" s="1854"/>
      <c r="AK1068" s="1854"/>
      <c r="AL1068" s="1854"/>
      <c r="AM1068" s="1854"/>
      <c r="AN1068" s="1854"/>
      <c r="AO1068" s="1854"/>
      <c r="AP1068" s="1854"/>
      <c r="AQ1068" s="1854"/>
      <c r="AR1068" s="1854"/>
      <c r="AS1068" s="14"/>
      <c r="AT1068" s="14"/>
      <c r="AV1068" s="68"/>
      <c r="AW1068" s="68"/>
      <c r="AX1068" s="68"/>
      <c r="AY1068" s="68"/>
    </row>
    <row r="1069" spans="1:54" ht="13.05" customHeight="1">
      <c r="A1069" s="198"/>
      <c r="B1069" s="67"/>
      <c r="C1069" s="1851"/>
      <c r="D1069" s="185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414" t="s">
        <v>591</v>
      </c>
      <c r="B1070" s="1414"/>
      <c r="C1070" s="1404">
        <v>3</v>
      </c>
      <c r="D1070" s="1404"/>
      <c r="E1070" s="1327" t="s">
        <v>1080</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05"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05"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05"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05"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05" customHeight="1">
      <c r="A1075" s="1414" t="s">
        <v>591</v>
      </c>
      <c r="B1075" s="1414"/>
      <c r="C1075" s="1404">
        <v>4</v>
      </c>
      <c r="D1075" s="1404"/>
      <c r="E1075" s="1327" t="s">
        <v>1079</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05"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05"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05"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05"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05"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05" customHeight="1">
      <c r="A1081" s="1414" t="s">
        <v>591</v>
      </c>
      <c r="B1081" s="1414"/>
      <c r="C1081" s="1404">
        <v>5</v>
      </c>
      <c r="D1081" s="1404"/>
      <c r="E1081" s="1327" t="s">
        <v>2245</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05"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05"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05"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05" customHeight="1">
      <c r="A1085" s="1414" t="s">
        <v>591</v>
      </c>
      <c r="B1085" s="1414"/>
      <c r="C1085" s="1404">
        <v>6</v>
      </c>
      <c r="D1085" s="1404"/>
      <c r="E1085" s="1327" t="s">
        <v>2246</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05"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05"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05"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05" customHeight="1">
      <c r="A1089" s="1414" t="s">
        <v>591</v>
      </c>
      <c r="B1089" s="1414"/>
      <c r="C1089" s="1404">
        <v>7</v>
      </c>
      <c r="D1089" s="1404"/>
      <c r="E1089" s="1327" t="s">
        <v>2140</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05"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05"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05"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05"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05" customHeight="1">
      <c r="A1094" s="1414" t="s">
        <v>591</v>
      </c>
      <c r="B1094" s="1414"/>
      <c r="C1094" s="1404">
        <v>8</v>
      </c>
      <c r="D1094" s="1404"/>
      <c r="E1094" s="1327" t="s">
        <v>1073</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05"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05"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05" customHeight="1">
      <c r="A1097" s="1414" t="s">
        <v>591</v>
      </c>
      <c r="B1097" s="1414"/>
      <c r="C1097" s="1851">
        <v>9</v>
      </c>
      <c r="D1097" s="1851"/>
      <c r="E1097" s="1327" t="s">
        <v>1075</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05" customHeight="1">
      <c r="A1098" s="1"/>
      <c r="B1098" s="1"/>
      <c r="C1098" s="1851"/>
      <c r="D1098" s="1851"/>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05" customHeight="1">
      <c r="A1099" s="35"/>
      <c r="B1099" s="25"/>
      <c r="C1099" s="1851"/>
      <c r="D1099" s="1851"/>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05" customHeight="1">
      <c r="A1100" s="1414" t="s">
        <v>591</v>
      </c>
      <c r="B1100" s="1414"/>
      <c r="C1100" s="1851">
        <v>10</v>
      </c>
      <c r="D1100" s="1851"/>
      <c r="E1100" s="1853" t="s">
        <v>2242</v>
      </c>
      <c r="F1100" s="1853"/>
      <c r="G1100" s="1853"/>
      <c r="H1100" s="1853"/>
      <c r="I1100" s="1853"/>
      <c r="J1100" s="1853"/>
      <c r="K1100" s="1853"/>
      <c r="L1100" s="1853"/>
      <c r="M1100" s="1853"/>
      <c r="N1100" s="1853"/>
      <c r="O1100" s="1853"/>
      <c r="P1100" s="1853"/>
      <c r="Q1100" s="1853"/>
      <c r="R1100" s="1853"/>
      <c r="S1100" s="1853"/>
      <c r="T1100" s="1853"/>
      <c r="U1100" s="1853"/>
      <c r="V1100" s="1853"/>
      <c r="W1100" s="1853"/>
      <c r="X1100" s="1853"/>
      <c r="Y1100" s="1853"/>
      <c r="Z1100" s="1853"/>
      <c r="AA1100" s="1853"/>
      <c r="AB1100" s="1853"/>
      <c r="AC1100" s="1853"/>
      <c r="AD1100" s="1853"/>
      <c r="AE1100" s="1853"/>
      <c r="AF1100" s="1853"/>
      <c r="AG1100" s="1853"/>
      <c r="AH1100" s="1853"/>
      <c r="AI1100" s="1853"/>
      <c r="AJ1100" s="1853"/>
      <c r="AK1100" s="1853"/>
      <c r="AL1100" s="1853"/>
      <c r="AM1100" s="1853"/>
      <c r="AN1100" s="1853"/>
      <c r="AO1100" s="1853"/>
      <c r="AP1100" s="1853"/>
      <c r="AQ1100" s="1853"/>
      <c r="AR1100" s="1853"/>
    </row>
    <row r="1101" spans="1:45" ht="13.05" customHeight="1">
      <c r="A1101" s="1"/>
      <c r="B1101" s="1"/>
      <c r="C1101" s="199"/>
      <c r="D1101" s="1163"/>
      <c r="E1101" s="1853"/>
      <c r="F1101" s="1853"/>
      <c r="G1101" s="1853"/>
      <c r="H1101" s="1853"/>
      <c r="I1101" s="1853"/>
      <c r="J1101" s="1853"/>
      <c r="K1101" s="1853"/>
      <c r="L1101" s="1853"/>
      <c r="M1101" s="1853"/>
      <c r="N1101" s="1853"/>
      <c r="O1101" s="1853"/>
      <c r="P1101" s="1853"/>
      <c r="Q1101" s="1853"/>
      <c r="R1101" s="1853"/>
      <c r="S1101" s="1853"/>
      <c r="T1101" s="1853"/>
      <c r="U1101" s="1853"/>
      <c r="V1101" s="1853"/>
      <c r="W1101" s="1853"/>
      <c r="X1101" s="1853"/>
      <c r="Y1101" s="1853"/>
      <c r="Z1101" s="1853"/>
      <c r="AA1101" s="1853"/>
      <c r="AB1101" s="1853"/>
      <c r="AC1101" s="1853"/>
      <c r="AD1101" s="1853"/>
      <c r="AE1101" s="1853"/>
      <c r="AF1101" s="1853"/>
      <c r="AG1101" s="1853"/>
      <c r="AH1101" s="1853"/>
      <c r="AI1101" s="1853"/>
      <c r="AJ1101" s="1853"/>
      <c r="AK1101" s="1853"/>
      <c r="AL1101" s="1853"/>
      <c r="AM1101" s="1853"/>
      <c r="AN1101" s="1853"/>
      <c r="AO1101" s="1853"/>
      <c r="AP1101" s="1853"/>
      <c r="AQ1101" s="1853"/>
      <c r="AR1101" s="1853"/>
    </row>
    <row r="1102" spans="1:45" ht="13.0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05" customHeight="1">
      <c r="A1103" s="1414" t="s">
        <v>591</v>
      </c>
      <c r="B1103" s="1414"/>
      <c r="C1103" s="1851">
        <v>11</v>
      </c>
      <c r="D1103" s="1851"/>
      <c r="E1103" s="1853" t="s">
        <v>2244</v>
      </c>
      <c r="F1103" s="1853"/>
      <c r="G1103" s="1853"/>
      <c r="H1103" s="1853"/>
      <c r="I1103" s="1853"/>
      <c r="J1103" s="1853"/>
      <c r="K1103" s="1853"/>
      <c r="L1103" s="1853"/>
      <c r="M1103" s="1853"/>
      <c r="N1103" s="1853"/>
      <c r="O1103" s="1853"/>
      <c r="P1103" s="1853"/>
      <c r="Q1103" s="1853"/>
      <c r="R1103" s="1853"/>
      <c r="S1103" s="1853"/>
      <c r="T1103" s="1853"/>
      <c r="U1103" s="1853"/>
      <c r="V1103" s="1853"/>
      <c r="W1103" s="1853"/>
      <c r="X1103" s="1853"/>
      <c r="Y1103" s="1853"/>
      <c r="Z1103" s="1853"/>
      <c r="AA1103" s="1853"/>
      <c r="AB1103" s="1853"/>
      <c r="AC1103" s="1853"/>
      <c r="AD1103" s="1853"/>
      <c r="AE1103" s="1853"/>
      <c r="AF1103" s="1853"/>
      <c r="AG1103" s="1853"/>
      <c r="AH1103" s="1853"/>
      <c r="AI1103" s="1853"/>
      <c r="AJ1103" s="1853"/>
      <c r="AK1103" s="1853"/>
      <c r="AL1103" s="1853"/>
      <c r="AM1103" s="1853"/>
      <c r="AN1103" s="1853"/>
      <c r="AO1103" s="1853"/>
      <c r="AP1103" s="1853"/>
      <c r="AQ1103" s="1853"/>
      <c r="AR1103" s="1853"/>
    </row>
    <row r="1104" spans="1:45" ht="13.05" customHeight="1">
      <c r="A1104" s="1"/>
      <c r="B1104" s="1"/>
      <c r="C1104" s="199"/>
      <c r="D1104" s="1163"/>
      <c r="E1104" s="1853"/>
      <c r="F1104" s="1853"/>
      <c r="G1104" s="1853"/>
      <c r="H1104" s="1853"/>
      <c r="I1104" s="1853"/>
      <c r="J1104" s="1853"/>
      <c r="K1104" s="1853"/>
      <c r="L1104" s="1853"/>
      <c r="M1104" s="1853"/>
      <c r="N1104" s="1853"/>
      <c r="O1104" s="1853"/>
      <c r="P1104" s="1853"/>
      <c r="Q1104" s="1853"/>
      <c r="R1104" s="1853"/>
      <c r="S1104" s="1853"/>
      <c r="T1104" s="1853"/>
      <c r="U1104" s="1853"/>
      <c r="V1104" s="1853"/>
      <c r="W1104" s="1853"/>
      <c r="X1104" s="1853"/>
      <c r="Y1104" s="1853"/>
      <c r="Z1104" s="1853"/>
      <c r="AA1104" s="1853"/>
      <c r="AB1104" s="1853"/>
      <c r="AC1104" s="1853"/>
      <c r="AD1104" s="1853"/>
      <c r="AE1104" s="1853"/>
      <c r="AF1104" s="1853"/>
      <c r="AG1104" s="1853"/>
      <c r="AH1104" s="1853"/>
      <c r="AI1104" s="1853"/>
      <c r="AJ1104" s="1853"/>
      <c r="AK1104" s="1853"/>
      <c r="AL1104" s="1853"/>
      <c r="AM1104" s="1853"/>
      <c r="AN1104" s="1853"/>
      <c r="AO1104" s="1853"/>
      <c r="AP1104" s="1853"/>
      <c r="AQ1104" s="1853"/>
      <c r="AR1104" s="1853"/>
    </row>
    <row r="1105" spans="1:37" ht="13.0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0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0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0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0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0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0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0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0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0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0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0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0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0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0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0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0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0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4" t="s">
        <v>591</v>
      </c>
      <c r="B1125" s="1414"/>
      <c r="C1125" s="199">
        <v>9</v>
      </c>
      <c r="D1125" s="1259" t="s">
        <v>1074</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050000000000001" hidden="1" customHeight="1"/>
  </sheetData>
  <sheetProtection algorithmName="SHA-512" hashValue="NhAD8z+mtXDLRPaEI0Un1JtQ0+vp1MbteEM0YJfvcw5pbarg8YVUpjmgFFYgdkTpL+KsiHCMWSrMCzYpDOksFg==" saltValue="Oo/wqtu7fKStKzCqwPrJv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H323:M323"/>
    <mergeCell ref="H320:R320"/>
    <mergeCell ref="H321:R321"/>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AG673:AH673"/>
    <mergeCell ref="B728:F728"/>
    <mergeCell ref="B725:F725"/>
    <mergeCell ref="B724:F724"/>
    <mergeCell ref="B727:F727"/>
    <mergeCell ref="H680:R680"/>
    <mergeCell ref="Z668:AK668"/>
    <mergeCell ref="G676:R676"/>
    <mergeCell ref="G714:J717"/>
    <mergeCell ref="G668:R668"/>
    <mergeCell ref="B742:F742"/>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296:R296"/>
    <mergeCell ref="AA330:AK330"/>
    <mergeCell ref="H324:M324"/>
    <mergeCell ref="AA325:AK325"/>
    <mergeCell ref="H315:M315"/>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298:AK298"/>
    <mergeCell ref="AA292:AF292"/>
    <mergeCell ref="H313:R31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I392:AJ392"/>
    <mergeCell ref="AG394:AJ394"/>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K403:AJ403"/>
    <mergeCell ref="P346:AE346"/>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G395:AJ395"/>
    <mergeCell ref="B720:F720"/>
    <mergeCell ref="B722:F722"/>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CK752:CL752"/>
    <mergeCell ref="CP747:CT747"/>
    <mergeCell ref="CG748:CH748"/>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24:AB724"/>
    <mergeCell ref="G661:R661"/>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6" zoomScale="90" zoomScaleNormal="90" workbookViewId="0">
      <selection activeCell="S34" sqref="S34"/>
    </sheetView>
  </sheetViews>
  <sheetFormatPr defaultColWidth="0" defaultRowHeight="11.4" zeroHeight="1"/>
  <cols>
    <col min="1" max="1" width="35.77734375" style="187" customWidth="1"/>
    <col min="2" max="12" width="12.21875" style="158" customWidth="1"/>
    <col min="13" max="17" width="11.21875" style="158" customWidth="1"/>
    <col min="18" max="18" width="12.77734375" style="158" customWidth="1"/>
    <col min="19" max="20" width="12.21875" style="158" customWidth="1"/>
    <col min="21" max="21" width="0.21875" style="161" customWidth="1"/>
    <col min="22" max="16383" width="8.77734375" style="158" hidden="1"/>
    <col min="16384" max="16384" width="0.21875" style="158" customWidth="1"/>
  </cols>
  <sheetData>
    <row r="1" spans="1:21" s="110" customFormat="1" ht="13.8">
      <c r="A1" s="168" t="s">
        <v>549</v>
      </c>
      <c r="B1" s="125"/>
      <c r="C1" s="125"/>
      <c r="D1" s="125"/>
      <c r="E1" s="126"/>
      <c r="F1" s="1861" t="s">
        <v>621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2)Seller Note</v>
      </c>
      <c r="H2" s="139" t="str">
        <f>Application!B629&amp;Application!C629</f>
        <v>3)Seller Note Accrued Interest</v>
      </c>
      <c r="I2" s="139" t="str">
        <f>Application!B630&amp;Application!C630</f>
        <v>4)Seller Note #2</v>
      </c>
      <c r="J2" s="139" t="str">
        <f>Application!B631&amp;Application!C631</f>
        <v>5)Assumption of City of LA Loan</v>
      </c>
      <c r="K2" s="139" t="str">
        <f>Application!B632&amp;Application!C632</f>
        <v>6)Assumed City of LA Loan Accrued Interest</v>
      </c>
      <c r="L2" s="139" t="str">
        <f>Application!B633&amp;Application!C633</f>
        <v>7)NOI</v>
      </c>
      <c r="M2" s="139" t="str">
        <f>Application!B634&amp;Application!C634</f>
        <v>8)Deferred Developer Fee</v>
      </c>
      <c r="N2" s="139" t="str">
        <f>Application!B635&amp;Application!C635</f>
        <v>9)Existing Reserves</v>
      </c>
      <c r="O2" s="139" t="str">
        <f>Application!B636&amp;Application!C636</f>
        <v>10)CMF Funds</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5800000</v>
      </c>
      <c r="C4" s="147">
        <v>5800000</v>
      </c>
      <c r="D4" s="147"/>
      <c r="E4" s="147"/>
      <c r="F4" s="147"/>
      <c r="G4" s="147">
        <v>2617820</v>
      </c>
      <c r="H4" s="147"/>
      <c r="I4" s="147">
        <v>3182180</v>
      </c>
      <c r="J4" s="147"/>
      <c r="K4" s="147"/>
      <c r="L4" s="147"/>
      <c r="M4" s="147"/>
      <c r="N4" s="147"/>
      <c r="O4" s="147"/>
      <c r="P4" s="147"/>
      <c r="Q4" s="147"/>
      <c r="R4" s="517">
        <f>SUM(E4:Q4)</f>
        <v>5800000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ht="12">
      <c r="A8" s="149" t="s">
        <v>593</v>
      </c>
      <c r="B8" s="146">
        <f>SUM(C8:D8)</f>
        <v>5800000</v>
      </c>
      <c r="C8" s="146">
        <f t="shared" ref="C8:Q8" si="0">SUM(C4:C7)</f>
        <v>5800000</v>
      </c>
      <c r="D8" s="146">
        <f t="shared" si="0"/>
        <v>0</v>
      </c>
      <c r="E8" s="146">
        <f t="shared" si="0"/>
        <v>0</v>
      </c>
      <c r="F8" s="146">
        <f t="shared" si="0"/>
        <v>0</v>
      </c>
      <c r="G8" s="146">
        <f t="shared" si="0"/>
        <v>2617820</v>
      </c>
      <c r="H8" s="146">
        <f t="shared" si="0"/>
        <v>0</v>
      </c>
      <c r="I8" s="146">
        <f t="shared" si="0"/>
        <v>3182180</v>
      </c>
      <c r="J8" s="146">
        <f t="shared" si="0"/>
        <v>0</v>
      </c>
      <c r="K8" s="146">
        <f t="shared" si="0"/>
        <v>0</v>
      </c>
      <c r="L8" s="146">
        <f t="shared" si="0"/>
        <v>0</v>
      </c>
      <c r="M8" s="146">
        <f t="shared" si="0"/>
        <v>0</v>
      </c>
      <c r="N8" s="146">
        <f t="shared" si="0"/>
        <v>0</v>
      </c>
      <c r="O8" s="146">
        <f t="shared" si="0"/>
        <v>0</v>
      </c>
      <c r="P8" s="146"/>
      <c r="Q8" s="146">
        <f t="shared" si="0"/>
        <v>0</v>
      </c>
      <c r="R8" s="343">
        <f>SUM(R4:R7)</f>
        <v>5800000</v>
      </c>
      <c r="S8" s="148"/>
      <c r="T8" s="148"/>
      <c r="U8" s="143"/>
    </row>
    <row r="9" spans="1:21" s="144" customFormat="1">
      <c r="A9" s="145" t="s">
        <v>594</v>
      </c>
      <c r="B9" s="146">
        <f>SUM(C9+D9)</f>
        <v>10900000</v>
      </c>
      <c r="C9" s="147">
        <v>10900000</v>
      </c>
      <c r="D9" s="147"/>
      <c r="E9" s="147"/>
      <c r="F9" s="147"/>
      <c r="G9" s="147">
        <v>7094954</v>
      </c>
      <c r="H9" s="147"/>
      <c r="I9" s="147"/>
      <c r="J9" s="147">
        <v>3805046</v>
      </c>
      <c r="K9" s="147"/>
      <c r="L9" s="147"/>
      <c r="M9" s="147"/>
      <c r="N9" s="147"/>
      <c r="O9" s="147"/>
      <c r="P9" s="147"/>
      <c r="Q9" s="147"/>
      <c r="R9" s="517">
        <f>SUM(E9:Q9)</f>
        <v>10900000</v>
      </c>
      <c r="S9" s="148"/>
      <c r="T9" s="147">
        <v>10900000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ht="12">
      <c r="A11" s="149" t="s">
        <v>596</v>
      </c>
      <c r="B11" s="146">
        <f>SUM(C11:D11)</f>
        <v>10900000</v>
      </c>
      <c r="C11" s="146">
        <f t="shared" ref="C11:Q11" si="1">SUM(C9:C10)</f>
        <v>10900000</v>
      </c>
      <c r="D11" s="146">
        <f t="shared" si="1"/>
        <v>0</v>
      </c>
      <c r="E11" s="146">
        <f t="shared" si="1"/>
        <v>0</v>
      </c>
      <c r="F11" s="146">
        <f t="shared" si="1"/>
        <v>0</v>
      </c>
      <c r="G11" s="146">
        <f t="shared" si="1"/>
        <v>7094954</v>
      </c>
      <c r="H11" s="146">
        <f t="shared" si="1"/>
        <v>0</v>
      </c>
      <c r="I11" s="146">
        <f t="shared" si="1"/>
        <v>0</v>
      </c>
      <c r="J11" s="146">
        <f t="shared" si="1"/>
        <v>3805046</v>
      </c>
      <c r="K11" s="146">
        <f t="shared" si="1"/>
        <v>0</v>
      </c>
      <c r="L11" s="146">
        <f t="shared" si="1"/>
        <v>0</v>
      </c>
      <c r="M11" s="146">
        <f t="shared" si="1"/>
        <v>0</v>
      </c>
      <c r="N11" s="146">
        <f t="shared" si="1"/>
        <v>0</v>
      </c>
      <c r="O11" s="146">
        <f t="shared" si="1"/>
        <v>0</v>
      </c>
      <c r="P11" s="146"/>
      <c r="Q11" s="146">
        <f t="shared" si="1"/>
        <v>0</v>
      </c>
      <c r="R11" s="343">
        <f>SUM(R9:R10)</f>
        <v>10900000</v>
      </c>
      <c r="S11" s="148"/>
      <c r="T11" s="150">
        <f>SUM(T9:T10)</f>
        <v>10900000</v>
      </c>
      <c r="U11" s="143"/>
    </row>
    <row r="12" spans="1:21" s="144" customFormat="1" ht="12">
      <c r="A12" s="149" t="s">
        <v>84</v>
      </c>
      <c r="B12" s="146">
        <f t="shared" ref="B12:Q12" si="2">SUM(B8+B11)</f>
        <v>16700000</v>
      </c>
      <c r="C12" s="146">
        <f t="shared" si="2"/>
        <v>16700000</v>
      </c>
      <c r="D12" s="146">
        <f t="shared" si="2"/>
        <v>0</v>
      </c>
      <c r="E12" s="146">
        <f t="shared" si="2"/>
        <v>0</v>
      </c>
      <c r="F12" s="146">
        <f t="shared" si="2"/>
        <v>0</v>
      </c>
      <c r="G12" s="146">
        <f t="shared" si="2"/>
        <v>9712774</v>
      </c>
      <c r="H12" s="146">
        <f t="shared" si="2"/>
        <v>0</v>
      </c>
      <c r="I12" s="146">
        <f t="shared" si="2"/>
        <v>3182180</v>
      </c>
      <c r="J12" s="146">
        <f t="shared" si="2"/>
        <v>3805046</v>
      </c>
      <c r="K12" s="146">
        <f t="shared" si="2"/>
        <v>0</v>
      </c>
      <c r="L12" s="146">
        <f t="shared" si="2"/>
        <v>0</v>
      </c>
      <c r="M12" s="146">
        <f t="shared" si="2"/>
        <v>0</v>
      </c>
      <c r="N12" s="146">
        <f t="shared" si="2"/>
        <v>0</v>
      </c>
      <c r="O12" s="146">
        <f t="shared" si="2"/>
        <v>0</v>
      </c>
      <c r="P12" s="146"/>
      <c r="Q12" s="146">
        <f t="shared" si="2"/>
        <v>0</v>
      </c>
      <c r="R12" s="343">
        <f>SUM(R8+R11)</f>
        <v>16700000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2.8">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10742629</v>
      </c>
      <c r="C18" s="147">
        <v>10742629</v>
      </c>
      <c r="D18" s="147"/>
      <c r="E18" s="147">
        <v>4319629</v>
      </c>
      <c r="F18" s="147">
        <v>5500000</v>
      </c>
      <c r="G18" s="147"/>
      <c r="H18" s="147"/>
      <c r="I18" s="147"/>
      <c r="J18" s="147"/>
      <c r="K18" s="147"/>
      <c r="L18" s="147">
        <v>495500</v>
      </c>
      <c r="M18" s="147"/>
      <c r="N18" s="147">
        <v>140000</v>
      </c>
      <c r="O18" s="147">
        <v>287500</v>
      </c>
      <c r="P18" s="147"/>
      <c r="Q18" s="147"/>
      <c r="R18" s="517">
        <f>SUM(E18:Q18)</f>
        <v>10742629</v>
      </c>
      <c r="S18" s="147">
        <v>10742629</v>
      </c>
      <c r="T18" s="147"/>
      <c r="U18" s="143"/>
    </row>
    <row r="19" spans="1:21" s="144" customFormat="1">
      <c r="A19" s="145" t="s">
        <v>600</v>
      </c>
      <c r="B19" s="146">
        <f t="shared" si="3"/>
        <v>645508</v>
      </c>
      <c r="C19" s="147">
        <v>645508</v>
      </c>
      <c r="D19" s="147"/>
      <c r="E19" s="147">
        <v>645508</v>
      </c>
      <c r="F19" s="147"/>
      <c r="G19" s="147"/>
      <c r="H19" s="147"/>
      <c r="I19" s="147"/>
      <c r="J19" s="147"/>
      <c r="K19" s="147"/>
      <c r="L19" s="147"/>
      <c r="M19" s="147"/>
      <c r="N19" s="147"/>
      <c r="O19" s="147"/>
      <c r="P19" s="147"/>
      <c r="Q19" s="147"/>
      <c r="R19" s="517">
        <f>SUM(E19:Q19)</f>
        <v>645508</v>
      </c>
      <c r="S19" s="147">
        <v>645508</v>
      </c>
      <c r="T19" s="147"/>
      <c r="U19" s="143"/>
    </row>
    <row r="20" spans="1:21" s="144" customFormat="1">
      <c r="A20" s="145" t="s">
        <v>137</v>
      </c>
      <c r="B20" s="146">
        <f t="shared" si="3"/>
        <v>386039</v>
      </c>
      <c r="C20" s="147">
        <v>386039</v>
      </c>
      <c r="D20" s="147"/>
      <c r="E20" s="147">
        <v>386039</v>
      </c>
      <c r="F20" s="147"/>
      <c r="G20" s="147"/>
      <c r="H20" s="147"/>
      <c r="I20" s="147"/>
      <c r="J20" s="147"/>
      <c r="K20" s="147"/>
      <c r="L20" s="147"/>
      <c r="M20" s="147"/>
      <c r="N20" s="147"/>
      <c r="O20" s="147"/>
      <c r="P20" s="147"/>
      <c r="Q20" s="147"/>
      <c r="R20" s="517">
        <f t="shared" ref="R20:R27" si="4">SUM(E20:Q20)</f>
        <v>386039</v>
      </c>
      <c r="S20" s="147">
        <v>386039</v>
      </c>
      <c r="T20" s="147"/>
      <c r="U20" s="143"/>
    </row>
    <row r="21" spans="1:21" s="144" customFormat="1">
      <c r="A21" s="145" t="s">
        <v>138</v>
      </c>
      <c r="B21" s="146">
        <f t="shared" si="3"/>
        <v>386039</v>
      </c>
      <c r="C21" s="147">
        <v>386039</v>
      </c>
      <c r="D21" s="147"/>
      <c r="E21" s="147">
        <v>386039</v>
      </c>
      <c r="F21" s="147"/>
      <c r="G21" s="147"/>
      <c r="H21" s="147"/>
      <c r="I21" s="147"/>
      <c r="J21" s="147"/>
      <c r="K21" s="147"/>
      <c r="L21" s="147"/>
      <c r="M21" s="147"/>
      <c r="N21" s="147"/>
      <c r="O21" s="147"/>
      <c r="P21" s="147"/>
      <c r="Q21" s="147"/>
      <c r="R21" s="517">
        <f t="shared" si="4"/>
        <v>386039</v>
      </c>
      <c r="S21" s="147">
        <v>386039</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v>0</v>
      </c>
      <c r="T22" s="147"/>
      <c r="U22" s="143"/>
    </row>
    <row r="23" spans="1:21" s="144" customFormat="1">
      <c r="A23" s="145" t="s">
        <v>140</v>
      </c>
      <c r="B23" s="146">
        <f t="shared" si="3"/>
        <v>157589</v>
      </c>
      <c r="C23" s="147">
        <v>157589</v>
      </c>
      <c r="D23" s="147"/>
      <c r="E23" s="147">
        <v>157589</v>
      </c>
      <c r="F23" s="147"/>
      <c r="G23" s="147"/>
      <c r="H23" s="147"/>
      <c r="I23" s="147"/>
      <c r="J23" s="147"/>
      <c r="K23" s="147"/>
      <c r="L23" s="147"/>
      <c r="M23" s="147"/>
      <c r="N23" s="147"/>
      <c r="O23" s="147"/>
      <c r="P23" s="147"/>
      <c r="Q23" s="147"/>
      <c r="R23" s="517">
        <f t="shared" si="4"/>
        <v>157589</v>
      </c>
      <c r="S23" s="147">
        <v>157589</v>
      </c>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4"/>
        <v>0</v>
      </c>
      <c r="S24" s="147">
        <v>0</v>
      </c>
      <c r="T24" s="147"/>
      <c r="U24" s="143"/>
    </row>
    <row r="25" spans="1:21" s="144" customFormat="1">
      <c r="A25" s="1151" t="s">
        <v>2729</v>
      </c>
      <c r="B25" s="146">
        <f t="shared" si="3"/>
        <v>168564</v>
      </c>
      <c r="C25" s="147">
        <v>168564</v>
      </c>
      <c r="D25" s="147"/>
      <c r="E25" s="147">
        <v>168564</v>
      </c>
      <c r="F25" s="147"/>
      <c r="G25" s="147"/>
      <c r="H25" s="147"/>
      <c r="I25" s="147"/>
      <c r="J25" s="147"/>
      <c r="K25" s="147"/>
      <c r="L25" s="147"/>
      <c r="M25" s="147"/>
      <c r="N25" s="147"/>
      <c r="O25" s="147"/>
      <c r="P25" s="147"/>
      <c r="Q25" s="147"/>
      <c r="R25" s="517">
        <f t="shared" si="4"/>
        <v>168564</v>
      </c>
      <c r="S25" s="147">
        <v>168564</v>
      </c>
      <c r="T25" s="147"/>
      <c r="U25" s="143"/>
    </row>
    <row r="26" spans="1:21" s="144" customFormat="1" ht="12">
      <c r="A26" s="149" t="s">
        <v>133</v>
      </c>
      <c r="B26" s="146">
        <f t="shared" si="3"/>
        <v>12486368</v>
      </c>
      <c r="C26" s="146">
        <f>SUM(C17:C25)</f>
        <v>12486368</v>
      </c>
      <c r="D26" s="146">
        <f t="shared" ref="D26:Q26" si="5">SUM(D17:D25)</f>
        <v>0</v>
      </c>
      <c r="E26" s="146">
        <f t="shared" si="5"/>
        <v>6063368</v>
      </c>
      <c r="F26" s="146">
        <f t="shared" si="5"/>
        <v>5500000</v>
      </c>
      <c r="G26" s="146">
        <f t="shared" si="5"/>
        <v>0</v>
      </c>
      <c r="H26" s="146">
        <f t="shared" si="5"/>
        <v>0</v>
      </c>
      <c r="I26" s="146">
        <f t="shared" si="5"/>
        <v>0</v>
      </c>
      <c r="J26" s="146">
        <f t="shared" si="5"/>
        <v>0</v>
      </c>
      <c r="K26" s="146">
        <f t="shared" si="5"/>
        <v>0</v>
      </c>
      <c r="L26" s="146">
        <f t="shared" si="5"/>
        <v>495500</v>
      </c>
      <c r="M26" s="146">
        <f t="shared" si="5"/>
        <v>0</v>
      </c>
      <c r="N26" s="146">
        <f t="shared" si="5"/>
        <v>140000</v>
      </c>
      <c r="O26" s="146">
        <f t="shared" si="5"/>
        <v>287500</v>
      </c>
      <c r="P26" s="146">
        <f t="shared" si="5"/>
        <v>0</v>
      </c>
      <c r="Q26" s="146">
        <f t="shared" si="5"/>
        <v>0</v>
      </c>
      <c r="R26" s="343">
        <f>SUM(R17:R25)</f>
        <v>12486368</v>
      </c>
      <c r="S26" s="150">
        <f>SUM(S17:S25)</f>
        <v>12486368</v>
      </c>
      <c r="T26" s="150">
        <f>SUM(T17:T25)</f>
        <v>0</v>
      </c>
      <c r="U26" s="143"/>
    </row>
    <row r="27" spans="1:21" s="144" customFormat="1" ht="12">
      <c r="A27" s="149" t="s">
        <v>141</v>
      </c>
      <c r="B27" s="146">
        <f>SUM(C27:D27)</f>
        <v>1047050</v>
      </c>
      <c r="C27" s="147">
        <v>1047050</v>
      </c>
      <c r="D27" s="147"/>
      <c r="E27" s="147">
        <v>1047050</v>
      </c>
      <c r="F27" s="147"/>
      <c r="G27" s="147"/>
      <c r="H27" s="147"/>
      <c r="I27" s="147"/>
      <c r="J27" s="147"/>
      <c r="K27" s="147"/>
      <c r="L27" s="147"/>
      <c r="M27" s="147"/>
      <c r="N27" s="147"/>
      <c r="O27" s="147"/>
      <c r="P27" s="147"/>
      <c r="Q27" s="147"/>
      <c r="R27" s="517">
        <f t="shared" si="4"/>
        <v>1047050</v>
      </c>
      <c r="S27" s="147">
        <f>R27</f>
        <v>1047050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7">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7">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7">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7">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7">
        <f t="shared" si="7"/>
        <v>0</v>
      </c>
      <c r="S35" s="147"/>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ht="12">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305000</v>
      </c>
      <c r="C40" s="147">
        <v>305000</v>
      </c>
      <c r="D40" s="147"/>
      <c r="E40" s="147">
        <v>305000</v>
      </c>
      <c r="F40" s="147"/>
      <c r="G40" s="147"/>
      <c r="H40" s="147"/>
      <c r="I40" s="147"/>
      <c r="J40" s="147"/>
      <c r="K40" s="147"/>
      <c r="L40" s="147"/>
      <c r="M40" s="147"/>
      <c r="N40" s="147"/>
      <c r="O40" s="147"/>
      <c r="P40" s="147"/>
      <c r="Q40" s="147"/>
      <c r="R40" s="517">
        <f>SUM(E40:Q40)</f>
        <v>305000</v>
      </c>
      <c r="S40" s="147">
        <v>305000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ht="12">
      <c r="A42" s="149" t="s">
        <v>147</v>
      </c>
      <c r="B42" s="146">
        <f>SUM(C42:D42)</f>
        <v>305000</v>
      </c>
      <c r="C42" s="146">
        <f>SUM(C39:C41)</f>
        <v>305000</v>
      </c>
      <c r="D42" s="146">
        <f>SUM(D39:D41)</f>
        <v>0</v>
      </c>
      <c r="E42" s="146">
        <f t="shared" ref="E42:T42" si="9">SUM(E40:E41)</f>
        <v>305000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305000</v>
      </c>
      <c r="S42" s="150">
        <f t="shared" si="9"/>
        <v>305000</v>
      </c>
      <c r="T42" s="150">
        <f t="shared" si="9"/>
        <v>0</v>
      </c>
      <c r="U42" s="143"/>
    </row>
    <row r="43" spans="1:21" s="144" customFormat="1" ht="12">
      <c r="A43" s="149" t="s">
        <v>148</v>
      </c>
      <c r="B43" s="146">
        <f>SUM(C43:D43)</f>
        <v>97900</v>
      </c>
      <c r="C43" s="147">
        <v>97900</v>
      </c>
      <c r="D43" s="147"/>
      <c r="E43" s="147">
        <v>97900</v>
      </c>
      <c r="F43" s="147"/>
      <c r="G43" s="147"/>
      <c r="H43" s="147"/>
      <c r="I43" s="147"/>
      <c r="J43" s="147"/>
      <c r="K43" s="147"/>
      <c r="L43" s="147"/>
      <c r="M43" s="147"/>
      <c r="N43" s="147"/>
      <c r="O43" s="147"/>
      <c r="P43" s="147"/>
      <c r="Q43" s="147"/>
      <c r="R43" s="517">
        <f>SUM(E43:Q43)</f>
        <v>97900</v>
      </c>
      <c r="S43" s="147">
        <v>97900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2188576</v>
      </c>
      <c r="C45" s="147">
        <v>2188576</v>
      </c>
      <c r="D45" s="147"/>
      <c r="E45" s="147">
        <v>2188576</v>
      </c>
      <c r="F45" s="147"/>
      <c r="G45" s="147"/>
      <c r="H45" s="147"/>
      <c r="I45" s="147"/>
      <c r="J45" s="147"/>
      <c r="K45" s="147"/>
      <c r="L45" s="147"/>
      <c r="M45" s="147"/>
      <c r="N45" s="147"/>
      <c r="O45" s="147"/>
      <c r="P45" s="147"/>
      <c r="Q45" s="147"/>
      <c r="R45" s="517">
        <f t="shared" ref="R45:R53" si="11">SUM(E45:Q45)</f>
        <v>2188576</v>
      </c>
      <c r="S45" s="147">
        <v>1094287.5</v>
      </c>
      <c r="T45" s="147"/>
      <c r="U45" s="143"/>
    </row>
    <row r="46" spans="1:21" s="144" customFormat="1">
      <c r="A46" s="145" t="s">
        <v>151</v>
      </c>
      <c r="B46" s="146">
        <f t="shared" si="10"/>
        <v>213000</v>
      </c>
      <c r="C46" s="147">
        <v>213000</v>
      </c>
      <c r="D46" s="147"/>
      <c r="E46" s="147">
        <v>213000</v>
      </c>
      <c r="F46" s="147"/>
      <c r="G46" s="147"/>
      <c r="H46" s="147"/>
      <c r="I46" s="147"/>
      <c r="J46" s="147"/>
      <c r="K46" s="147"/>
      <c r="L46" s="147"/>
      <c r="M46" s="147"/>
      <c r="N46" s="147"/>
      <c r="O46" s="147"/>
      <c r="P46" s="147"/>
      <c r="Q46" s="147"/>
      <c r="R46" s="517">
        <f t="shared" si="11"/>
        <v>213000</v>
      </c>
      <c r="S46" s="147"/>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320529</v>
      </c>
      <c r="C49" s="147">
        <v>320529</v>
      </c>
      <c r="D49" s="147"/>
      <c r="E49" s="147">
        <v>320529</v>
      </c>
      <c r="F49" s="147"/>
      <c r="G49" s="147"/>
      <c r="H49" s="147"/>
      <c r="I49" s="147"/>
      <c r="J49" s="147"/>
      <c r="K49" s="147"/>
      <c r="L49" s="147"/>
      <c r="M49" s="147"/>
      <c r="N49" s="147"/>
      <c r="O49" s="147"/>
      <c r="P49" s="147"/>
      <c r="Q49" s="147"/>
      <c r="R49" s="517">
        <f t="shared" si="11"/>
        <v>320529</v>
      </c>
      <c r="S49" s="147">
        <v>144000</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17">
        <f t="shared" si="11"/>
        <v>50000</v>
      </c>
      <c r="S50" s="147">
        <v>50000</v>
      </c>
      <c r="T50" s="147"/>
      <c r="U50" s="143"/>
    </row>
    <row r="51" spans="1:21" s="144" customFormat="1">
      <c r="A51" s="284" t="s">
        <v>154</v>
      </c>
      <c r="B51" s="146">
        <f t="shared" si="10"/>
        <v>0</v>
      </c>
      <c r="C51" s="147"/>
      <c r="D51" s="147"/>
      <c r="E51" s="147"/>
      <c r="F51" s="147"/>
      <c r="G51" s="147"/>
      <c r="H51" s="147"/>
      <c r="I51" s="147"/>
      <c r="J51" s="147"/>
      <c r="K51" s="147"/>
      <c r="L51" s="147"/>
      <c r="M51" s="147"/>
      <c r="N51" s="147"/>
      <c r="O51" s="147"/>
      <c r="P51" s="147"/>
      <c r="Q51" s="147"/>
      <c r="R51" s="517">
        <f t="shared" si="11"/>
        <v>0</v>
      </c>
      <c r="S51" s="147"/>
      <c r="T51" s="147"/>
      <c r="U51" s="143"/>
    </row>
    <row r="52" spans="1:21" s="144" customFormat="1">
      <c r="A52" s="145" t="s">
        <v>155</v>
      </c>
      <c r="B52" s="146">
        <f t="shared" si="10"/>
        <v>350000</v>
      </c>
      <c r="C52" s="147">
        <v>350000</v>
      </c>
      <c r="D52" s="147"/>
      <c r="E52" s="147">
        <v>350000</v>
      </c>
      <c r="F52" s="147"/>
      <c r="G52" s="147"/>
      <c r="H52" s="147"/>
      <c r="I52" s="147"/>
      <c r="J52" s="147"/>
      <c r="K52" s="147"/>
      <c r="L52" s="147"/>
      <c r="M52" s="147"/>
      <c r="N52" s="147"/>
      <c r="O52" s="147"/>
      <c r="P52" s="147"/>
      <c r="Q52" s="147"/>
      <c r="R52" s="517">
        <f t="shared" si="11"/>
        <v>350000</v>
      </c>
      <c r="S52" s="147">
        <v>350000</v>
      </c>
      <c r="T52" s="147"/>
      <c r="U52" s="143"/>
    </row>
    <row r="53" spans="1:21" s="144" customFormat="1" ht="22.8">
      <c r="A53" s="1151" t="s">
        <v>2730</v>
      </c>
      <c r="B53" s="146">
        <f t="shared" si="10"/>
        <v>40000</v>
      </c>
      <c r="C53" s="147">
        <v>40000</v>
      </c>
      <c r="D53" s="147"/>
      <c r="E53" s="147">
        <v>40000</v>
      </c>
      <c r="F53" s="147"/>
      <c r="G53" s="147"/>
      <c r="H53" s="147"/>
      <c r="I53" s="147"/>
      <c r="J53" s="147"/>
      <c r="K53" s="147"/>
      <c r="L53" s="147"/>
      <c r="M53" s="147"/>
      <c r="N53" s="147"/>
      <c r="O53" s="147"/>
      <c r="P53" s="147"/>
      <c r="Q53" s="147"/>
      <c r="R53" s="517">
        <f t="shared" si="11"/>
        <v>40000</v>
      </c>
      <c r="S53" s="147">
        <v>40000</v>
      </c>
      <c r="T53" s="147"/>
      <c r="U53" s="143"/>
    </row>
    <row r="54" spans="1:21" s="153" customFormat="1" ht="12">
      <c r="A54" s="149" t="s">
        <v>157</v>
      </c>
      <c r="B54" s="150">
        <f>SUM(C54:D54)</f>
        <v>3162105</v>
      </c>
      <c r="C54" s="150">
        <f t="shared" ref="C54:T54" si="12">SUM(C45:C53)</f>
        <v>3162105</v>
      </c>
      <c r="D54" s="150">
        <f t="shared" si="12"/>
        <v>0</v>
      </c>
      <c r="E54" s="150">
        <f t="shared" si="12"/>
        <v>3162105</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3162105</v>
      </c>
      <c r="S54" s="150">
        <f t="shared" si="12"/>
        <v>1678287.5</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7">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30000</v>
      </c>
      <c r="C58" s="147">
        <v>30000</v>
      </c>
      <c r="D58" s="147"/>
      <c r="E58" s="147">
        <v>30000</v>
      </c>
      <c r="F58" s="147"/>
      <c r="G58" s="147"/>
      <c r="H58" s="147"/>
      <c r="I58" s="147"/>
      <c r="J58" s="147"/>
      <c r="K58" s="147"/>
      <c r="L58" s="147"/>
      <c r="M58" s="147"/>
      <c r="N58" s="147"/>
      <c r="O58" s="147"/>
      <c r="P58" s="147"/>
      <c r="Q58" s="147"/>
      <c r="R58" s="517">
        <f t="shared" si="14"/>
        <v>30000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34</v>
      </c>
      <c r="B61" s="146">
        <f t="shared" si="13"/>
        <v>0</v>
      </c>
      <c r="C61" s="147"/>
      <c r="D61" s="147"/>
      <c r="E61" s="147"/>
      <c r="F61" s="147"/>
      <c r="G61" s="147"/>
      <c r="H61" s="147"/>
      <c r="I61" s="147"/>
      <c r="J61" s="147"/>
      <c r="K61" s="147"/>
      <c r="L61" s="147"/>
      <c r="M61" s="147"/>
      <c r="N61" s="147"/>
      <c r="O61" s="147"/>
      <c r="P61" s="147"/>
      <c r="Q61" s="147"/>
      <c r="R61" s="517">
        <f t="shared" si="14"/>
        <v>0</v>
      </c>
      <c r="S61" s="148"/>
      <c r="T61" s="148"/>
      <c r="U61" s="143"/>
    </row>
    <row r="62" spans="1:21" s="144" customFormat="1" ht="13.8" customHeight="1">
      <c r="A62" s="149" t="s">
        <v>300</v>
      </c>
      <c r="B62" s="146">
        <f>SUM(C62:D62)</f>
        <v>30000</v>
      </c>
      <c r="C62" s="146">
        <f t="shared" ref="C62:R62" si="15">SUM(C56:C61)</f>
        <v>30000</v>
      </c>
      <c r="D62" s="146">
        <f t="shared" si="15"/>
        <v>0</v>
      </c>
      <c r="E62" s="146">
        <f t="shared" si="15"/>
        <v>30000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30000</v>
      </c>
      <c r="S62" s="148"/>
      <c r="T62" s="148"/>
      <c r="U62" s="143"/>
    </row>
    <row r="63" spans="1:21" s="144" customFormat="1">
      <c r="A63" s="154" t="s">
        <v>301</v>
      </c>
      <c r="B63" s="146">
        <f t="shared" ref="B63:R63" si="16">SUM(B8+B11+B13+B14+B15+B26+B27+B38+B42+B43+B54+B62)</f>
        <v>33828423</v>
      </c>
      <c r="C63" s="146">
        <f t="shared" si="16"/>
        <v>33828423</v>
      </c>
      <c r="D63" s="146">
        <f t="shared" si="16"/>
        <v>0</v>
      </c>
      <c r="E63" s="146">
        <f t="shared" si="16"/>
        <v>10705423</v>
      </c>
      <c r="F63" s="146">
        <f t="shared" si="16"/>
        <v>5500000</v>
      </c>
      <c r="G63" s="146">
        <f t="shared" si="16"/>
        <v>9712774</v>
      </c>
      <c r="H63" s="146">
        <f t="shared" si="16"/>
        <v>0</v>
      </c>
      <c r="I63" s="146">
        <f t="shared" si="16"/>
        <v>3182180</v>
      </c>
      <c r="J63" s="146">
        <f t="shared" si="16"/>
        <v>3805046</v>
      </c>
      <c r="K63" s="146">
        <f t="shared" si="16"/>
        <v>0</v>
      </c>
      <c r="L63" s="146">
        <f t="shared" si="16"/>
        <v>495500</v>
      </c>
      <c r="M63" s="146">
        <f t="shared" si="16"/>
        <v>0</v>
      </c>
      <c r="N63" s="146">
        <f t="shared" si="16"/>
        <v>140000</v>
      </c>
      <c r="O63" s="146">
        <f t="shared" si="16"/>
        <v>287500</v>
      </c>
      <c r="P63" s="146">
        <f t="shared" si="16"/>
        <v>0</v>
      </c>
      <c r="Q63" s="146">
        <f t="shared" si="16"/>
        <v>0</v>
      </c>
      <c r="R63" s="343">
        <f t="shared" si="16"/>
        <v>33828423</v>
      </c>
      <c r="S63" s="146">
        <f>SUM(S10+S13+S14+S15+S26+S27+S38+S42+S43+S54)</f>
        <v>15614605.5</v>
      </c>
      <c r="T63" s="146">
        <f>SUM(T11+T13+T14+T15+T26+T27+T38+T42+T43+T54)</f>
        <v>10900000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c r="F65" s="147"/>
      <c r="G65" s="147"/>
      <c r="H65" s="147"/>
      <c r="I65" s="147"/>
      <c r="J65" s="147"/>
      <c r="K65" s="147"/>
      <c r="L65" s="147"/>
      <c r="M65" s="147"/>
      <c r="N65" s="147"/>
      <c r="O65" s="147"/>
      <c r="P65" s="147"/>
      <c r="Q65" s="147"/>
      <c r="R65" s="517">
        <f>SUM(E65:Q65)</f>
        <v>0</v>
      </c>
      <c r="S65" s="147"/>
      <c r="T65" s="147"/>
      <c r="U65" s="143"/>
    </row>
    <row r="66" spans="1:21" s="144" customFormat="1" ht="24" customHeight="1">
      <c r="A66" s="284" t="s">
        <v>1641</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ht="22.8">
      <c r="A69" s="1151" t="s">
        <v>2731</v>
      </c>
      <c r="B69" s="146">
        <f>SUM(C69+D69)</f>
        <v>85000</v>
      </c>
      <c r="C69" s="147">
        <v>85000</v>
      </c>
      <c r="D69" s="147"/>
      <c r="E69" s="147"/>
      <c r="F69" s="147"/>
      <c r="G69" s="147"/>
      <c r="H69" s="147"/>
      <c r="I69" s="147"/>
      <c r="J69" s="147"/>
      <c r="K69" s="147"/>
      <c r="L69" s="147"/>
      <c r="M69" s="147"/>
      <c r="N69" s="147">
        <v>85000</v>
      </c>
      <c r="O69" s="147"/>
      <c r="P69" s="147"/>
      <c r="Q69" s="147"/>
      <c r="R69" s="517">
        <f>SUM(E69:Q69)</f>
        <v>85000</v>
      </c>
      <c r="S69" s="147">
        <v>40000</v>
      </c>
      <c r="T69" s="147"/>
      <c r="U69" s="143"/>
    </row>
    <row r="70" spans="1:21" s="144" customFormat="1" ht="12">
      <c r="A70" s="149" t="s">
        <v>1645</v>
      </c>
      <c r="B70" s="146">
        <f>SUM(C70:D70)</f>
        <v>85000</v>
      </c>
      <c r="C70" s="146">
        <f>SUM(C65:C69)</f>
        <v>85000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85000</v>
      </c>
      <c r="O70" s="146">
        <f t="shared" si="17"/>
        <v>0</v>
      </c>
      <c r="P70" s="146">
        <f t="shared" si="17"/>
        <v>0</v>
      </c>
      <c r="Q70" s="146">
        <f t="shared" si="17"/>
        <v>0</v>
      </c>
      <c r="R70" s="343">
        <f t="shared" si="17"/>
        <v>85000</v>
      </c>
      <c r="S70" s="150">
        <f t="shared" si="17"/>
        <v>40000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224000</v>
      </c>
      <c r="C74" s="147">
        <v>224000</v>
      </c>
      <c r="D74" s="147"/>
      <c r="E74" s="147"/>
      <c r="F74" s="147"/>
      <c r="G74" s="147"/>
      <c r="H74" s="147"/>
      <c r="I74" s="147"/>
      <c r="J74" s="147"/>
      <c r="K74" s="147"/>
      <c r="L74" s="147"/>
      <c r="M74" s="147"/>
      <c r="N74" s="147">
        <v>224000</v>
      </c>
      <c r="O74" s="147"/>
      <c r="P74" s="147"/>
      <c r="Q74" s="147"/>
      <c r="R74" s="517">
        <f>SUM(E74:Q74)</f>
        <v>224000</v>
      </c>
      <c r="S74" s="148"/>
      <c r="T74" s="148"/>
      <c r="U74" s="143"/>
    </row>
    <row r="75" spans="1:21" s="144" customFormat="1">
      <c r="A75" s="145" t="s">
        <v>605</v>
      </c>
      <c r="B75" s="146">
        <f>SUM(C75+D75)</f>
        <v>671710</v>
      </c>
      <c r="C75" s="147">
        <v>671710</v>
      </c>
      <c r="D75" s="147"/>
      <c r="E75" s="147">
        <v>38177</v>
      </c>
      <c r="F75" s="147"/>
      <c r="G75" s="147"/>
      <c r="H75" s="147"/>
      <c r="I75" s="147"/>
      <c r="J75" s="147"/>
      <c r="K75" s="147"/>
      <c r="L75" s="147"/>
      <c r="M75" s="147"/>
      <c r="N75" s="147">
        <v>633533</v>
      </c>
      <c r="O75" s="147"/>
      <c r="P75" s="147"/>
      <c r="Q75" s="147"/>
      <c r="R75" s="517">
        <f>SUM(E75:Q75)</f>
        <v>671710</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ht="12">
      <c r="A77" s="149" t="s">
        <v>606</v>
      </c>
      <c r="B77" s="146">
        <f>SUM(C77:D77)</f>
        <v>895710</v>
      </c>
      <c r="C77" s="146">
        <f>SUM(C72:C76)</f>
        <v>895710</v>
      </c>
      <c r="D77" s="146">
        <f>SUM(D72:D76)</f>
        <v>0</v>
      </c>
      <c r="E77" s="146">
        <f t="shared" ref="E77:Q77" si="18">SUM(E72:E76)</f>
        <v>38177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857533</v>
      </c>
      <c r="O77" s="146">
        <f t="shared" si="18"/>
        <v>0</v>
      </c>
      <c r="P77" s="146">
        <f t="shared" si="18"/>
        <v>0</v>
      </c>
      <c r="Q77" s="146">
        <f t="shared" si="18"/>
        <v>0</v>
      </c>
      <c r="R77" s="343">
        <f>SUM(R72:R76)</f>
        <v>895710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1872955</v>
      </c>
      <c r="C79" s="147">
        <v>1872955</v>
      </c>
      <c r="D79" s="147"/>
      <c r="E79" s="147">
        <v>1872955</v>
      </c>
      <c r="F79" s="147"/>
      <c r="G79" s="147"/>
      <c r="H79" s="147"/>
      <c r="I79" s="147"/>
      <c r="J79" s="147"/>
      <c r="K79" s="147"/>
      <c r="L79" s="147"/>
      <c r="M79" s="147"/>
      <c r="N79" s="147"/>
      <c r="O79" s="147"/>
      <c r="P79" s="147"/>
      <c r="Q79" s="147"/>
      <c r="R79" s="517">
        <f>SUM(E79:Q79)</f>
        <v>1872955</v>
      </c>
      <c r="S79" s="147">
        <v>1872955</v>
      </c>
      <c r="T79" s="147"/>
      <c r="U79" s="143"/>
    </row>
    <row r="80" spans="1:21" s="144" customFormat="1">
      <c r="A80" s="284" t="s">
        <v>58</v>
      </c>
      <c r="B80" s="146">
        <f>SUM(C80:D80)</f>
        <v>154000</v>
      </c>
      <c r="C80" s="147">
        <v>154000</v>
      </c>
      <c r="D80" s="147"/>
      <c r="E80" s="147">
        <v>154000</v>
      </c>
      <c r="F80" s="147"/>
      <c r="G80" s="147"/>
      <c r="H80" s="147"/>
      <c r="I80" s="147"/>
      <c r="J80" s="147"/>
      <c r="K80" s="147"/>
      <c r="L80" s="147"/>
      <c r="M80" s="147"/>
      <c r="N80" s="147"/>
      <c r="O80" s="147"/>
      <c r="P80" s="147"/>
      <c r="Q80" s="147"/>
      <c r="R80" s="517">
        <f>SUM(E80:Q80)</f>
        <v>154000</v>
      </c>
      <c r="S80" s="147">
        <v>154000</v>
      </c>
      <c r="T80" s="147"/>
      <c r="U80" s="143"/>
    </row>
    <row r="81" spans="1:21" s="144" customFormat="1" ht="12">
      <c r="A81" s="149" t="s">
        <v>1209</v>
      </c>
      <c r="B81" s="146">
        <f>SUM(C81:D81)</f>
        <v>2026955</v>
      </c>
      <c r="C81" s="510">
        <f>SUM(C79:C80)</f>
        <v>2026955</v>
      </c>
      <c r="D81" s="510">
        <f t="shared" ref="D81:T81" si="19">SUM(D79:D80)</f>
        <v>0</v>
      </c>
      <c r="E81" s="510">
        <f t="shared" si="19"/>
        <v>2026955</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2026955</v>
      </c>
      <c r="S81" s="510">
        <f t="shared" si="19"/>
        <v>2026955</v>
      </c>
      <c r="T81" s="510">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8" customHeight="1">
      <c r="A83" s="145" t="s">
        <v>2096</v>
      </c>
      <c r="B83" s="146">
        <f t="shared" ref="B83:B95" si="20">SUM(C83+D83)</f>
        <v>62544</v>
      </c>
      <c r="C83" s="147">
        <v>62544</v>
      </c>
      <c r="D83" s="147"/>
      <c r="E83" s="147">
        <v>62544</v>
      </c>
      <c r="F83" s="147"/>
      <c r="G83" s="147"/>
      <c r="H83" s="147"/>
      <c r="I83" s="147"/>
      <c r="J83" s="147"/>
      <c r="K83" s="147"/>
      <c r="L83" s="147"/>
      <c r="M83" s="147"/>
      <c r="N83" s="147"/>
      <c r="O83" s="147"/>
      <c r="P83" s="147"/>
      <c r="Q83" s="147"/>
      <c r="R83" s="517">
        <f t="shared" ref="R83:R95" si="21">SUM(E83:Q83)</f>
        <v>62544</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7">
        <f t="shared" si="21"/>
        <v>0</v>
      </c>
      <c r="S84" s="147"/>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7">
        <f t="shared" si="21"/>
        <v>0</v>
      </c>
      <c r="S85" s="147"/>
      <c r="T85" s="147"/>
      <c r="U85" s="143"/>
    </row>
    <row r="86" spans="1:21" s="144" customFormat="1">
      <c r="A86" s="145" t="s">
        <v>769</v>
      </c>
      <c r="B86" s="146">
        <f t="shared" si="20"/>
        <v>101975</v>
      </c>
      <c r="C86" s="147">
        <v>101975</v>
      </c>
      <c r="D86" s="147"/>
      <c r="E86" s="147">
        <v>101975</v>
      </c>
      <c r="F86" s="147"/>
      <c r="G86" s="147"/>
      <c r="H86" s="147"/>
      <c r="I86" s="147"/>
      <c r="J86" s="147"/>
      <c r="K86" s="147"/>
      <c r="L86" s="147"/>
      <c r="M86" s="147"/>
      <c r="N86" s="147"/>
      <c r="O86" s="147"/>
      <c r="P86" s="147"/>
      <c r="Q86" s="147"/>
      <c r="R86" s="517">
        <f t="shared" si="21"/>
        <v>101975</v>
      </c>
      <c r="S86" s="147">
        <v>101975</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771</v>
      </c>
      <c r="B88" s="146">
        <f t="shared" si="20"/>
        <v>25000</v>
      </c>
      <c r="C88" s="147">
        <v>25000</v>
      </c>
      <c r="D88" s="147"/>
      <c r="E88" s="147">
        <v>25000</v>
      </c>
      <c r="F88" s="147"/>
      <c r="G88" s="147"/>
      <c r="H88" s="147"/>
      <c r="I88" s="147"/>
      <c r="J88" s="147"/>
      <c r="K88" s="147"/>
      <c r="L88" s="147"/>
      <c r="M88" s="147"/>
      <c r="N88" s="147"/>
      <c r="O88" s="147"/>
      <c r="P88" s="147"/>
      <c r="Q88" s="147"/>
      <c r="R88" s="517">
        <f t="shared" si="21"/>
        <v>25000</v>
      </c>
      <c r="S88" s="148"/>
      <c r="T88" s="148"/>
      <c r="U88" s="143"/>
    </row>
    <row r="89" spans="1:21" s="144" customFormat="1">
      <c r="A89" s="145" t="s">
        <v>772</v>
      </c>
      <c r="B89" s="146">
        <f t="shared" si="20"/>
        <v>300000</v>
      </c>
      <c r="C89" s="147">
        <v>300000</v>
      </c>
      <c r="D89" s="147"/>
      <c r="E89" s="147">
        <v>300000</v>
      </c>
      <c r="F89" s="147"/>
      <c r="G89" s="147"/>
      <c r="H89" s="147"/>
      <c r="I89" s="147"/>
      <c r="J89" s="147"/>
      <c r="K89" s="147"/>
      <c r="L89" s="147"/>
      <c r="M89" s="147"/>
      <c r="N89" s="147"/>
      <c r="O89" s="147"/>
      <c r="P89" s="147"/>
      <c r="Q89" s="147"/>
      <c r="R89" s="517">
        <f t="shared" si="21"/>
        <v>300000</v>
      </c>
      <c r="S89" s="147">
        <v>300000</v>
      </c>
      <c r="T89" s="147"/>
      <c r="U89" s="143"/>
    </row>
    <row r="90" spans="1:21" s="144" customFormat="1">
      <c r="A90" s="145" t="s">
        <v>773</v>
      </c>
      <c r="B90" s="146">
        <f t="shared" si="20"/>
        <v>5500</v>
      </c>
      <c r="C90" s="147">
        <v>5500</v>
      </c>
      <c r="D90" s="147"/>
      <c r="E90" s="147">
        <v>5500</v>
      </c>
      <c r="F90" s="147"/>
      <c r="G90" s="147"/>
      <c r="H90" s="147"/>
      <c r="I90" s="147"/>
      <c r="J90" s="147"/>
      <c r="K90" s="147"/>
      <c r="L90" s="147"/>
      <c r="M90" s="147"/>
      <c r="N90" s="147"/>
      <c r="O90" s="147"/>
      <c r="P90" s="147"/>
      <c r="Q90" s="147"/>
      <c r="R90" s="517">
        <f t="shared" si="21"/>
        <v>5500</v>
      </c>
      <c r="S90" s="147"/>
      <c r="T90" s="147"/>
      <c r="U90" s="143"/>
    </row>
    <row r="91" spans="1:21" s="144" customFormat="1">
      <c r="A91" s="145" t="s">
        <v>371</v>
      </c>
      <c r="B91" s="146">
        <f t="shared" si="20"/>
        <v>30000</v>
      </c>
      <c r="C91" s="147">
        <v>30000</v>
      </c>
      <c r="D91" s="147"/>
      <c r="E91" s="147">
        <v>30000</v>
      </c>
      <c r="F91" s="147"/>
      <c r="G91" s="147"/>
      <c r="H91" s="147"/>
      <c r="I91" s="147"/>
      <c r="J91" s="147"/>
      <c r="K91" s="147"/>
      <c r="L91" s="147"/>
      <c r="M91" s="147"/>
      <c r="N91" s="147"/>
      <c r="O91" s="147"/>
      <c r="P91" s="147"/>
      <c r="Q91" s="147"/>
      <c r="R91" s="517">
        <f t="shared" si="21"/>
        <v>30000</v>
      </c>
      <c r="S91" s="147"/>
      <c r="T91" s="147"/>
      <c r="U91" s="143"/>
    </row>
    <row r="92" spans="1:21" s="144" customFormat="1">
      <c r="A92" s="284" t="s">
        <v>1211</v>
      </c>
      <c r="B92" s="146">
        <f t="shared" si="20"/>
        <v>11000</v>
      </c>
      <c r="C92" s="147">
        <v>11000</v>
      </c>
      <c r="D92" s="147"/>
      <c r="E92" s="147">
        <v>11000</v>
      </c>
      <c r="F92" s="147"/>
      <c r="G92" s="147"/>
      <c r="H92" s="147"/>
      <c r="I92" s="147"/>
      <c r="J92" s="147"/>
      <c r="K92" s="147"/>
      <c r="L92" s="147"/>
      <c r="M92" s="147"/>
      <c r="N92" s="147"/>
      <c r="O92" s="147"/>
      <c r="P92" s="147"/>
      <c r="Q92" s="147"/>
      <c r="R92" s="517">
        <f t="shared" si="21"/>
        <v>11000</v>
      </c>
      <c r="S92" s="147"/>
      <c r="T92" s="147">
        <v>7180</v>
      </c>
      <c r="U92" s="143"/>
    </row>
    <row r="93" spans="1:21" s="144" customFormat="1">
      <c r="A93" s="1151" t="s">
        <v>2732</v>
      </c>
      <c r="B93" s="146">
        <f t="shared" si="20"/>
        <v>40000</v>
      </c>
      <c r="C93" s="147">
        <v>40000</v>
      </c>
      <c r="D93" s="147"/>
      <c r="E93" s="147">
        <v>40000</v>
      </c>
      <c r="F93" s="147"/>
      <c r="G93" s="147"/>
      <c r="H93" s="147"/>
      <c r="I93" s="147"/>
      <c r="J93" s="147"/>
      <c r="K93" s="147"/>
      <c r="L93" s="147"/>
      <c r="M93" s="147"/>
      <c r="N93" s="147"/>
      <c r="O93" s="147"/>
      <c r="P93" s="147"/>
      <c r="Q93" s="147"/>
      <c r="R93" s="517">
        <f t="shared" si="21"/>
        <v>40000</v>
      </c>
      <c r="S93" s="147">
        <v>40000</v>
      </c>
      <c r="T93" s="147"/>
      <c r="U93" s="143"/>
    </row>
    <row r="94" spans="1:21" s="144" customFormat="1">
      <c r="A94" s="1151" t="s">
        <v>2733</v>
      </c>
      <c r="B94" s="146">
        <f t="shared" si="20"/>
        <v>91850</v>
      </c>
      <c r="C94" s="147">
        <v>91850</v>
      </c>
      <c r="D94" s="147"/>
      <c r="E94" s="147">
        <v>91850</v>
      </c>
      <c r="F94" s="147"/>
      <c r="G94" s="147"/>
      <c r="H94" s="147"/>
      <c r="I94" s="147"/>
      <c r="J94" s="147"/>
      <c r="K94" s="147"/>
      <c r="L94" s="147"/>
      <c r="M94" s="147"/>
      <c r="N94" s="147"/>
      <c r="O94" s="147"/>
      <c r="P94" s="147"/>
      <c r="Q94" s="147"/>
      <c r="R94" s="517">
        <f t="shared" si="21"/>
        <v>91850</v>
      </c>
      <c r="S94" s="147"/>
      <c r="T94" s="147">
        <v>59950</v>
      </c>
      <c r="U94" s="143"/>
    </row>
    <row r="95" spans="1:21" s="144" customFormat="1" ht="22.8">
      <c r="A95" s="1151" t="s">
        <v>2734</v>
      </c>
      <c r="B95" s="146">
        <f t="shared" si="20"/>
        <v>1279384</v>
      </c>
      <c r="C95" s="147">
        <v>1279384</v>
      </c>
      <c r="D95" s="147"/>
      <c r="E95" s="147"/>
      <c r="F95" s="147"/>
      <c r="G95" s="147"/>
      <c r="H95" s="147">
        <v>919258</v>
      </c>
      <c r="I95" s="147"/>
      <c r="J95" s="147"/>
      <c r="K95" s="147">
        <v>360126</v>
      </c>
      <c r="L95" s="147"/>
      <c r="M95" s="147"/>
      <c r="N95" s="147"/>
      <c r="O95" s="147"/>
      <c r="P95" s="147"/>
      <c r="Q95" s="147"/>
      <c r="R95" s="517">
        <f t="shared" si="21"/>
        <v>1279384</v>
      </c>
      <c r="S95" s="147"/>
      <c r="T95" s="147">
        <v>786008</v>
      </c>
      <c r="U95" s="143"/>
    </row>
    <row r="96" spans="1:21" s="144" customFormat="1" ht="12">
      <c r="A96" s="149" t="s">
        <v>774</v>
      </c>
      <c r="B96" s="146">
        <f>SUM(C96:D96)</f>
        <v>1947253</v>
      </c>
      <c r="C96" s="146">
        <f t="shared" ref="C96:R96" si="22">SUM(C83:C95)</f>
        <v>1947253</v>
      </c>
      <c r="D96" s="146">
        <f t="shared" si="22"/>
        <v>0</v>
      </c>
      <c r="E96" s="146">
        <f t="shared" si="22"/>
        <v>667869</v>
      </c>
      <c r="F96" s="146">
        <f t="shared" si="22"/>
        <v>0</v>
      </c>
      <c r="G96" s="146">
        <f t="shared" si="22"/>
        <v>0</v>
      </c>
      <c r="H96" s="146">
        <f t="shared" si="22"/>
        <v>919258</v>
      </c>
      <c r="I96" s="146">
        <f t="shared" si="22"/>
        <v>0</v>
      </c>
      <c r="J96" s="146">
        <f t="shared" si="22"/>
        <v>0</v>
      </c>
      <c r="K96" s="146">
        <f t="shared" si="22"/>
        <v>360126</v>
      </c>
      <c r="L96" s="146">
        <f t="shared" si="22"/>
        <v>0</v>
      </c>
      <c r="M96" s="146">
        <f t="shared" si="22"/>
        <v>0</v>
      </c>
      <c r="N96" s="146">
        <f t="shared" si="22"/>
        <v>0</v>
      </c>
      <c r="O96" s="146">
        <f t="shared" si="22"/>
        <v>0</v>
      </c>
      <c r="P96" s="146">
        <f t="shared" si="22"/>
        <v>0</v>
      </c>
      <c r="Q96" s="146">
        <f t="shared" si="22"/>
        <v>0</v>
      </c>
      <c r="R96" s="343">
        <f t="shared" si="22"/>
        <v>1947253</v>
      </c>
      <c r="S96" s="150">
        <f>SUM(S84:S87,S89:S95)</f>
        <v>441975</v>
      </c>
      <c r="T96" s="146">
        <f>SUM(T84:T87,T89:T95)</f>
        <v>853138</v>
      </c>
      <c r="U96" s="143"/>
    </row>
    <row r="97" spans="1:21" s="144" customFormat="1" ht="12">
      <c r="A97" s="149" t="s">
        <v>775</v>
      </c>
      <c r="B97" s="146">
        <f>SUM(C97:D97)</f>
        <v>38783341</v>
      </c>
      <c r="C97" s="146">
        <f t="shared" ref="C97:R97" si="23">SUM(C63+C70+C77+C81+C96)</f>
        <v>38783341</v>
      </c>
      <c r="D97" s="146">
        <f t="shared" si="23"/>
        <v>0</v>
      </c>
      <c r="E97" s="146">
        <f t="shared" si="23"/>
        <v>13438424</v>
      </c>
      <c r="F97" s="146">
        <f t="shared" si="23"/>
        <v>5500000</v>
      </c>
      <c r="G97" s="146">
        <f t="shared" si="23"/>
        <v>9712774</v>
      </c>
      <c r="H97" s="146">
        <f t="shared" si="23"/>
        <v>919258</v>
      </c>
      <c r="I97" s="146">
        <f t="shared" si="23"/>
        <v>3182180</v>
      </c>
      <c r="J97" s="146">
        <f t="shared" si="23"/>
        <v>3805046</v>
      </c>
      <c r="K97" s="146">
        <f t="shared" si="23"/>
        <v>360126</v>
      </c>
      <c r="L97" s="146">
        <f t="shared" si="23"/>
        <v>495500</v>
      </c>
      <c r="M97" s="146">
        <f t="shared" si="23"/>
        <v>0</v>
      </c>
      <c r="N97" s="146">
        <f t="shared" si="23"/>
        <v>1082533</v>
      </c>
      <c r="O97" s="146">
        <f t="shared" si="23"/>
        <v>287500</v>
      </c>
      <c r="P97" s="146">
        <f t="shared" si="23"/>
        <v>0</v>
      </c>
      <c r="Q97" s="146">
        <f t="shared" si="23"/>
        <v>0</v>
      </c>
      <c r="R97" s="146">
        <f t="shared" si="23"/>
        <v>38783341</v>
      </c>
      <c r="S97" s="146">
        <f>SUM(S63+S70+S81+S96)</f>
        <v>18123535.5</v>
      </c>
      <c r="T97" s="146">
        <f>SUM(T63+T70+T81+T96)</f>
        <v>11753138</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4481500</v>
      </c>
      <c r="C99" s="980">
        <v>4481500</v>
      </c>
      <c r="D99" s="980"/>
      <c r="E99" s="980">
        <v>1000000</v>
      </c>
      <c r="F99" s="147"/>
      <c r="G99" s="147"/>
      <c r="H99" s="147"/>
      <c r="I99" s="147"/>
      <c r="J99" s="147"/>
      <c r="K99" s="147"/>
      <c r="L99" s="147"/>
      <c r="M99" s="147">
        <v>3481500</v>
      </c>
      <c r="N99" s="147"/>
      <c r="O99" s="147"/>
      <c r="P99" s="147"/>
      <c r="Q99" s="147"/>
      <c r="R99" s="517">
        <f>SUM(E99:Q99)</f>
        <v>4481500</v>
      </c>
      <c r="S99" s="147">
        <v>2718530</v>
      </c>
      <c r="T99" s="147">
        <v>1762970</v>
      </c>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779</v>
      </c>
      <c r="B104" s="146">
        <f>SUM(C104:D104)</f>
        <v>4481500</v>
      </c>
      <c r="C104" s="146">
        <f>SUM(C99:C103)</f>
        <v>4481500</v>
      </c>
      <c r="D104" s="146">
        <f t="shared" ref="D104:T104" si="24">SUM(D99:D103)</f>
        <v>0</v>
      </c>
      <c r="E104" s="146">
        <f t="shared" si="24"/>
        <v>1000000</v>
      </c>
      <c r="F104" s="146">
        <f t="shared" si="24"/>
        <v>0</v>
      </c>
      <c r="G104" s="146">
        <f t="shared" si="24"/>
        <v>0</v>
      </c>
      <c r="H104" s="146">
        <f t="shared" si="24"/>
        <v>0</v>
      </c>
      <c r="I104" s="146">
        <f t="shared" si="24"/>
        <v>0</v>
      </c>
      <c r="J104" s="146">
        <f t="shared" si="24"/>
        <v>0</v>
      </c>
      <c r="K104" s="146">
        <f t="shared" si="24"/>
        <v>0</v>
      </c>
      <c r="L104" s="146">
        <f t="shared" si="24"/>
        <v>0</v>
      </c>
      <c r="M104" s="146">
        <f t="shared" si="24"/>
        <v>3481500</v>
      </c>
      <c r="N104" s="146">
        <f t="shared" si="24"/>
        <v>0</v>
      </c>
      <c r="O104" s="146">
        <f t="shared" si="24"/>
        <v>0</v>
      </c>
      <c r="P104" s="146">
        <f t="shared" si="24"/>
        <v>0</v>
      </c>
      <c r="Q104" s="146">
        <f t="shared" si="24"/>
        <v>0</v>
      </c>
      <c r="R104" s="343">
        <f t="shared" si="24"/>
        <v>4481500</v>
      </c>
      <c r="S104" s="150">
        <f t="shared" si="24"/>
        <v>2718530</v>
      </c>
      <c r="T104" s="150">
        <f t="shared" si="24"/>
        <v>1762970</v>
      </c>
      <c r="U104" s="143"/>
    </row>
    <row r="105" spans="1:21" s="144" customFormat="1" ht="12">
      <c r="A105" s="149" t="s">
        <v>780</v>
      </c>
      <c r="B105" s="150">
        <f>SUM(C105:D105)</f>
        <v>43264841</v>
      </c>
      <c r="C105" s="150">
        <f t="shared" ref="C105:R105" si="25">SUM(C97+C104)</f>
        <v>43264841</v>
      </c>
      <c r="D105" s="150">
        <f t="shared" si="25"/>
        <v>0</v>
      </c>
      <c r="E105" s="150">
        <f t="shared" si="25"/>
        <v>14438424</v>
      </c>
      <c r="F105" s="150">
        <f t="shared" si="25"/>
        <v>5500000</v>
      </c>
      <c r="G105" s="150">
        <f t="shared" si="25"/>
        <v>9712774</v>
      </c>
      <c r="H105" s="150">
        <f t="shared" si="25"/>
        <v>919258</v>
      </c>
      <c r="I105" s="150">
        <f t="shared" si="25"/>
        <v>3182180</v>
      </c>
      <c r="J105" s="150">
        <f t="shared" si="25"/>
        <v>3805046</v>
      </c>
      <c r="K105" s="150">
        <f t="shared" si="25"/>
        <v>360126</v>
      </c>
      <c r="L105" s="150">
        <f t="shared" si="25"/>
        <v>495500</v>
      </c>
      <c r="M105" s="150">
        <f t="shared" si="25"/>
        <v>3481500</v>
      </c>
      <c r="N105" s="150">
        <f t="shared" si="25"/>
        <v>1082533</v>
      </c>
      <c r="O105" s="150">
        <f t="shared" si="25"/>
        <v>287500</v>
      </c>
      <c r="P105" s="150">
        <f t="shared" si="25"/>
        <v>0</v>
      </c>
      <c r="Q105" s="150">
        <f t="shared" si="25"/>
        <v>0</v>
      </c>
      <c r="R105" s="343">
        <f t="shared" si="25"/>
        <v>43264841</v>
      </c>
      <c r="S105" s="150">
        <f>S97+S104</f>
        <v>20842065.5</v>
      </c>
      <c r="T105" s="150">
        <f>T97+T104</f>
        <v>13516108</v>
      </c>
      <c r="U105" s="143"/>
    </row>
    <row r="106" spans="1:21" ht="12">
      <c r="A106" s="515"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20842065.5</v>
      </c>
      <c r="T107" s="150">
        <f>T105+T106</f>
        <v>13516108</v>
      </c>
    </row>
    <row r="108" spans="1:21" s="189" customFormat="1" ht="12">
      <c r="A108" s="162" t="s">
        <v>879</v>
      </c>
      <c r="B108" s="157"/>
      <c r="C108" s="157"/>
      <c r="D108" s="157"/>
      <c r="E108" s="302">
        <f>Application!AO640</f>
        <v>14438424</v>
      </c>
      <c r="F108" s="302">
        <f>Application!AO627</f>
        <v>5500000</v>
      </c>
      <c r="G108" s="302">
        <f>Application!AO628</f>
        <v>9712774</v>
      </c>
      <c r="H108" s="302">
        <f>Application!AO629</f>
        <v>919258</v>
      </c>
      <c r="I108" s="302">
        <f>Application!AO630</f>
        <v>3182180</v>
      </c>
      <c r="J108" s="302">
        <f>Application!AO631</f>
        <v>3805046</v>
      </c>
      <c r="K108" s="302">
        <f>Application!AO632</f>
        <v>360126</v>
      </c>
      <c r="L108" s="302">
        <f>Application!AO633</f>
        <v>495500</v>
      </c>
      <c r="M108" s="302">
        <f>Application!AO634</f>
        <v>3481500</v>
      </c>
      <c r="N108" s="302">
        <f>Application!AO635</f>
        <v>1082533</v>
      </c>
      <c r="O108" s="302">
        <f>Application!AO636</f>
        <v>287500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3"/>
      <c r="B112" s="157"/>
      <c r="C112" s="157"/>
      <c r="D112" s="157"/>
    </row>
    <row r="113" spans="1:21" ht="12">
      <c r="A113" s="156" t="s">
        <v>1019</v>
      </c>
      <c r="B113" s="157"/>
      <c r="C113" s="157"/>
      <c r="D113" s="157"/>
    </row>
    <row r="114" spans="1:21" ht="12">
      <c r="A114" s="156" t="s">
        <v>2097</v>
      </c>
      <c r="B114" s="157"/>
      <c r="C114" s="157"/>
      <c r="D114" s="157"/>
    </row>
    <row r="115" spans="1:21" ht="12" customHeight="1">
      <c r="A115" s="313"/>
      <c r="B115" s="157"/>
      <c r="C115" s="157"/>
      <c r="D115" s="157"/>
    </row>
    <row r="116" spans="1:21" ht="12">
      <c r="A116" s="346" t="s">
        <v>1022</v>
      </c>
      <c r="B116" s="157"/>
      <c r="C116" s="157"/>
      <c r="D116" s="157"/>
    </row>
    <row r="117" spans="1:21" ht="12">
      <c r="A117" s="346" t="s">
        <v>1223</v>
      </c>
      <c r="B117" s="157"/>
      <c r="C117" s="157"/>
      <c r="D117" s="157"/>
    </row>
    <row r="118" spans="1:21" ht="12">
      <c r="A118" s="346" t="s">
        <v>1021</v>
      </c>
      <c r="B118" s="157"/>
      <c r="C118" s="157"/>
      <c r="D118" s="157"/>
    </row>
    <row r="119" spans="1:21" ht="12">
      <c r="A119" s="346" t="s">
        <v>1023</v>
      </c>
      <c r="B119" s="157"/>
      <c r="C119" s="157"/>
      <c r="D119" s="157"/>
    </row>
    <row r="120" spans="1:21" ht="12" customHeight="1">
      <c r="A120" s="345"/>
      <c r="B120" s="157"/>
      <c r="C120" s="157"/>
      <c r="D120" s="157"/>
    </row>
    <row r="121" spans="1:21" ht="15.6">
      <c r="A121" s="339" t="s">
        <v>1005</v>
      </c>
      <c r="B121" s="157"/>
      <c r="C121" s="157"/>
      <c r="D121" s="157"/>
    </row>
    <row r="122" spans="1:21">
      <c r="A122" s="326" t="s">
        <v>989</v>
      </c>
      <c r="B122" s="325"/>
      <c r="C122" s="325"/>
      <c r="D122" s="1865" t="s">
        <v>990</v>
      </c>
      <c r="E122" s="1865"/>
      <c r="F122" s="1865"/>
      <c r="G122" s="325"/>
      <c r="H122" s="325"/>
      <c r="I122" s="325"/>
      <c r="J122" s="325"/>
      <c r="K122" s="325"/>
      <c r="L122" s="325"/>
      <c r="M122" s="325"/>
      <c r="N122" s="325"/>
      <c r="O122" s="325"/>
      <c r="P122" s="325"/>
      <c r="Q122" s="325"/>
      <c r="R122" s="325"/>
      <c r="S122" s="325"/>
      <c r="T122" s="325"/>
      <c r="U122" s="327"/>
    </row>
    <row r="123" spans="1:21">
      <c r="A123" s="325" t="s">
        <v>991</v>
      </c>
      <c r="B123" s="334">
        <v>5000</v>
      </c>
      <c r="C123" s="325"/>
      <c r="D123" s="1857" t="s">
        <v>1224</v>
      </c>
      <c r="E123" s="1549"/>
      <c r="F123" s="1549"/>
      <c r="G123" s="1549"/>
      <c r="H123" s="1549"/>
      <c r="I123" s="1549"/>
      <c r="J123" s="1549"/>
      <c r="K123" s="1549"/>
      <c r="L123" s="1549"/>
      <c r="M123" s="1549"/>
      <c r="N123" s="1549"/>
      <c r="O123" s="1549"/>
      <c r="P123" s="1549"/>
      <c r="Q123" s="1549"/>
      <c r="R123" s="1549"/>
      <c r="S123" s="1549"/>
      <c r="T123" s="325"/>
      <c r="U123" s="327"/>
    </row>
    <row r="124" spans="1:21" ht="13.2">
      <c r="A124" s="117" t="s">
        <v>992</v>
      </c>
      <c r="B124" s="334"/>
      <c r="C124" s="117"/>
      <c r="D124" s="1549"/>
      <c r="E124" s="1549"/>
      <c r="F124" s="1549"/>
      <c r="G124" s="1549"/>
      <c r="H124" s="1549"/>
      <c r="I124" s="1549"/>
      <c r="J124" s="1549"/>
      <c r="K124" s="1549"/>
      <c r="L124" s="1549"/>
      <c r="M124" s="1549"/>
      <c r="N124" s="1549"/>
      <c r="O124" s="1549"/>
      <c r="P124" s="1549"/>
      <c r="Q124" s="1549"/>
      <c r="R124" s="1549"/>
      <c r="S124" s="1549"/>
      <c r="T124" s="325"/>
      <c r="U124" s="327"/>
    </row>
    <row r="125" spans="1:21" ht="13.2">
      <c r="A125" s="117" t="s">
        <v>993</v>
      </c>
      <c r="B125" s="334">
        <v>90000</v>
      </c>
      <c r="C125" s="117"/>
      <c r="D125" s="1549"/>
      <c r="E125" s="1549"/>
      <c r="F125" s="1549"/>
      <c r="G125" s="1549"/>
      <c r="H125" s="1549"/>
      <c r="I125" s="1549"/>
      <c r="J125" s="1549"/>
      <c r="K125" s="1549"/>
      <c r="L125" s="1549"/>
      <c r="M125" s="1549"/>
      <c r="N125" s="1549"/>
      <c r="O125" s="1549"/>
      <c r="P125" s="1549"/>
      <c r="Q125" s="1549"/>
      <c r="R125" s="1549"/>
      <c r="S125" s="1549"/>
      <c r="T125" s="325"/>
      <c r="U125" s="327"/>
    </row>
    <row r="126" spans="1:21" ht="13.2">
      <c r="A126" s="117" t="s">
        <v>994</v>
      </c>
      <c r="B126" s="334">
        <v>85000</v>
      </c>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996</v>
      </c>
      <c r="B128" s="334"/>
      <c r="C128" s="117"/>
      <c r="D128" s="1860"/>
      <c r="E128" s="1860"/>
      <c r="F128" s="1860"/>
      <c r="G128" s="1860"/>
      <c r="H128" s="1860"/>
      <c r="I128" s="117"/>
      <c r="J128" s="1856"/>
      <c r="K128" s="1856"/>
      <c r="L128" s="117"/>
      <c r="M128" s="117"/>
      <c r="N128" s="117"/>
      <c r="O128" s="117"/>
      <c r="P128" s="117"/>
      <c r="Q128" s="117"/>
      <c r="R128" s="117"/>
      <c r="S128" s="117"/>
      <c r="T128" s="325"/>
      <c r="U128" s="327"/>
    </row>
    <row r="129" spans="1:21" ht="13.2">
      <c r="A129" s="117" t="s">
        <v>299</v>
      </c>
      <c r="B129" s="334"/>
      <c r="C129" s="117"/>
      <c r="D129" s="1864" t="s">
        <v>997</v>
      </c>
      <c r="E129" s="1864"/>
      <c r="F129" s="1864"/>
      <c r="G129" s="1864"/>
      <c r="H129" s="1864"/>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999</v>
      </c>
      <c r="B131" s="335">
        <f>SUM(B123:B129)</f>
        <v>180000</v>
      </c>
      <c r="C131" s="117"/>
      <c r="D131" s="1521"/>
      <c r="E131" s="1521"/>
      <c r="F131" s="1521"/>
      <c r="G131" s="1521"/>
      <c r="H131" s="1521"/>
      <c r="I131" s="117"/>
      <c r="J131" s="1521"/>
      <c r="K131" s="1521"/>
      <c r="L131" s="1521"/>
      <c r="M131" s="1521"/>
      <c r="N131" s="117"/>
      <c r="O131" s="117"/>
      <c r="P131" s="117"/>
      <c r="Q131" s="117"/>
      <c r="R131" s="117"/>
      <c r="S131" s="117"/>
      <c r="T131" s="325"/>
      <c r="U131" s="327"/>
    </row>
    <row r="132" spans="1:21" ht="12" customHeight="1">
      <c r="A132" s="337"/>
      <c r="B132" s="117"/>
      <c r="C132" s="117"/>
      <c r="D132" s="1858" t="s">
        <v>1000</v>
      </c>
      <c r="E132" s="1858"/>
      <c r="F132" s="1858"/>
      <c r="G132" s="1858"/>
      <c r="H132" s="1858"/>
      <c r="I132" s="117"/>
      <c r="J132" s="1858" t="s">
        <v>1001</v>
      </c>
      <c r="K132" s="1858"/>
      <c r="L132" s="1858"/>
      <c r="M132" s="1858"/>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59"/>
      <c r="B138" s="1860"/>
      <c r="C138" s="1860"/>
      <c r="D138" s="329"/>
      <c r="E138" s="1856"/>
      <c r="F138" s="1856"/>
      <c r="G138" s="117"/>
      <c r="H138" s="117"/>
      <c r="I138" s="117"/>
      <c r="J138" s="117"/>
      <c r="K138" s="117"/>
      <c r="L138" s="117"/>
      <c r="M138" s="117"/>
      <c r="N138" s="117"/>
      <c r="O138" s="117"/>
      <c r="P138" s="117"/>
      <c r="Q138" s="117"/>
      <c r="R138" s="117"/>
      <c r="S138" s="117"/>
      <c r="T138" s="331"/>
      <c r="U138" s="332"/>
    </row>
    <row r="139" spans="1:21" ht="13.2">
      <c r="A139" s="1855" t="s">
        <v>1004</v>
      </c>
      <c r="B139" s="1855"/>
      <c r="C139" s="1855"/>
      <c r="D139" s="329"/>
      <c r="E139" s="117" t="s">
        <v>998</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1" workbookViewId="0">
      <selection activeCell="AB50" sqref="AB50:AF50"/>
    </sheetView>
  </sheetViews>
  <sheetFormatPr defaultColWidth="0" defaultRowHeight="13.05" customHeight="1"/>
  <cols>
    <col min="1" max="1" width="1.5546875" style="403" customWidth="1"/>
    <col min="2" max="2" width="0.77734375" style="403" customWidth="1"/>
    <col min="3" max="18" width="2.5546875" style="403" customWidth="1"/>
    <col min="19" max="19" width="6.21875" style="403" customWidth="1"/>
    <col min="20" max="39" width="2.77734375" style="403" customWidth="1"/>
    <col min="40" max="40" width="1.5546875" style="403" customWidth="1"/>
    <col min="41" max="256" width="2.5546875" style="403" hidden="1"/>
    <col min="257" max="257" width="1.5546875" style="403" hidden="1" customWidth="1"/>
    <col min="258" max="258" width="0.77734375" style="403" hidden="1" customWidth="1"/>
    <col min="259" max="274" width="2.5546875" style="403" hidden="1" customWidth="1"/>
    <col min="275" max="275" width="4" style="403" hidden="1" customWidth="1"/>
    <col min="276" max="279" width="2.5546875" style="403" hidden="1" customWidth="1"/>
    <col min="280" max="280" width="2.44140625" style="403" hidden="1" customWidth="1"/>
    <col min="281" max="284" width="2.5546875" style="403" hidden="1" customWidth="1"/>
    <col min="285" max="285" width="2.44140625" style="403" hidden="1" customWidth="1"/>
    <col min="286" max="289" width="2.5546875" style="403" hidden="1" customWidth="1"/>
    <col min="290" max="295" width="2.44140625" style="403" hidden="1" customWidth="1"/>
    <col min="296" max="296" width="1.5546875" style="403" hidden="1" customWidth="1"/>
    <col min="297" max="512" width="2.5546875" style="403" hidden="1"/>
    <col min="513" max="513" width="1.5546875" style="403" hidden="1" customWidth="1"/>
    <col min="514" max="514" width="0.77734375" style="403" hidden="1" customWidth="1"/>
    <col min="515" max="530" width="2.5546875" style="403" hidden="1" customWidth="1"/>
    <col min="531" max="531" width="4" style="403" hidden="1" customWidth="1"/>
    <col min="532" max="535" width="2.5546875" style="403" hidden="1" customWidth="1"/>
    <col min="536" max="536" width="2.44140625" style="403" hidden="1" customWidth="1"/>
    <col min="537" max="540" width="2.5546875" style="403" hidden="1" customWidth="1"/>
    <col min="541" max="541" width="2.44140625" style="403" hidden="1" customWidth="1"/>
    <col min="542" max="545" width="2.5546875" style="403" hidden="1" customWidth="1"/>
    <col min="546" max="551" width="2.44140625" style="403" hidden="1" customWidth="1"/>
    <col min="552" max="552" width="1.5546875" style="403" hidden="1" customWidth="1"/>
    <col min="553" max="768" width="2.5546875" style="403" hidden="1"/>
    <col min="769" max="769" width="1.5546875" style="403" hidden="1" customWidth="1"/>
    <col min="770" max="770" width="0.77734375" style="403" hidden="1" customWidth="1"/>
    <col min="771" max="786" width="2.5546875" style="403" hidden="1" customWidth="1"/>
    <col min="787" max="787" width="4" style="403" hidden="1" customWidth="1"/>
    <col min="788" max="791" width="2.5546875" style="403" hidden="1" customWidth="1"/>
    <col min="792" max="792" width="2.44140625" style="403" hidden="1" customWidth="1"/>
    <col min="793" max="796" width="2.5546875" style="403" hidden="1" customWidth="1"/>
    <col min="797" max="797" width="2.44140625" style="403" hidden="1" customWidth="1"/>
    <col min="798" max="801" width="2.5546875" style="403" hidden="1" customWidth="1"/>
    <col min="802" max="807" width="2.44140625" style="403" hidden="1" customWidth="1"/>
    <col min="808" max="808" width="1.5546875" style="403" hidden="1" customWidth="1"/>
    <col min="809" max="1024" width="2.5546875" style="403" hidden="1"/>
    <col min="1025" max="1025" width="1.5546875" style="403" hidden="1" customWidth="1"/>
    <col min="1026" max="1026" width="0.77734375" style="403" hidden="1" customWidth="1"/>
    <col min="1027" max="1042" width="2.5546875" style="403" hidden="1" customWidth="1"/>
    <col min="1043" max="1043" width="4" style="403" hidden="1" customWidth="1"/>
    <col min="1044" max="1047" width="2.5546875" style="403" hidden="1" customWidth="1"/>
    <col min="1048" max="1048" width="2.44140625" style="403" hidden="1" customWidth="1"/>
    <col min="1049" max="1052" width="2.5546875" style="403" hidden="1" customWidth="1"/>
    <col min="1053" max="1053" width="2.44140625" style="403" hidden="1" customWidth="1"/>
    <col min="1054" max="1057" width="2.5546875" style="403" hidden="1" customWidth="1"/>
    <col min="1058" max="1063" width="2.44140625" style="403" hidden="1" customWidth="1"/>
    <col min="1064" max="1064" width="1.5546875" style="403" hidden="1" customWidth="1"/>
    <col min="1065" max="1280" width="2.5546875" style="403" hidden="1"/>
    <col min="1281" max="1281" width="1.5546875" style="403" hidden="1" customWidth="1"/>
    <col min="1282" max="1282" width="0.77734375" style="403" hidden="1" customWidth="1"/>
    <col min="1283" max="1298" width="2.5546875" style="403" hidden="1" customWidth="1"/>
    <col min="1299" max="1299" width="4" style="403" hidden="1" customWidth="1"/>
    <col min="1300" max="1303" width="2.5546875" style="403" hidden="1" customWidth="1"/>
    <col min="1304" max="1304" width="2.44140625" style="403" hidden="1" customWidth="1"/>
    <col min="1305" max="1308" width="2.5546875" style="403" hidden="1" customWidth="1"/>
    <col min="1309" max="1309" width="2.44140625" style="403" hidden="1" customWidth="1"/>
    <col min="1310" max="1313" width="2.5546875" style="403" hidden="1" customWidth="1"/>
    <col min="1314" max="1319" width="2.44140625" style="403" hidden="1" customWidth="1"/>
    <col min="1320" max="1320" width="1.5546875" style="403" hidden="1" customWidth="1"/>
    <col min="1321" max="1536" width="2.5546875" style="403" hidden="1"/>
    <col min="1537" max="1537" width="1.5546875" style="403" hidden="1" customWidth="1"/>
    <col min="1538" max="1538" width="0.77734375" style="403" hidden="1" customWidth="1"/>
    <col min="1539" max="1554" width="2.5546875" style="403" hidden="1" customWidth="1"/>
    <col min="1555" max="1555" width="4" style="403" hidden="1" customWidth="1"/>
    <col min="1556" max="1559" width="2.5546875" style="403" hidden="1" customWidth="1"/>
    <col min="1560" max="1560" width="2.44140625" style="403" hidden="1" customWidth="1"/>
    <col min="1561" max="1564" width="2.5546875" style="403" hidden="1" customWidth="1"/>
    <col min="1565" max="1565" width="2.44140625" style="403" hidden="1" customWidth="1"/>
    <col min="1566" max="1569" width="2.5546875" style="403" hidden="1" customWidth="1"/>
    <col min="1570" max="1575" width="2.44140625" style="403" hidden="1" customWidth="1"/>
    <col min="1576" max="1576" width="1.5546875" style="403" hidden="1" customWidth="1"/>
    <col min="1577" max="1792" width="2.5546875" style="403" hidden="1"/>
    <col min="1793" max="1793" width="1.5546875" style="403" hidden="1" customWidth="1"/>
    <col min="1794" max="1794" width="0.77734375" style="403" hidden="1" customWidth="1"/>
    <col min="1795" max="1810" width="2.5546875" style="403" hidden="1" customWidth="1"/>
    <col min="1811" max="1811" width="4" style="403" hidden="1" customWidth="1"/>
    <col min="1812" max="1815" width="2.5546875" style="403" hidden="1" customWidth="1"/>
    <col min="1816" max="1816" width="2.44140625" style="403" hidden="1" customWidth="1"/>
    <col min="1817" max="1820" width="2.5546875" style="403" hidden="1" customWidth="1"/>
    <col min="1821" max="1821" width="2.44140625" style="403" hidden="1" customWidth="1"/>
    <col min="1822" max="1825" width="2.5546875" style="403" hidden="1" customWidth="1"/>
    <col min="1826" max="1831" width="2.44140625" style="403" hidden="1" customWidth="1"/>
    <col min="1832" max="1832" width="1.5546875" style="403" hidden="1" customWidth="1"/>
    <col min="1833" max="2048" width="2.5546875" style="403" hidden="1"/>
    <col min="2049" max="2049" width="1.5546875" style="403" hidden="1" customWidth="1"/>
    <col min="2050" max="2050" width="0.77734375" style="403" hidden="1" customWidth="1"/>
    <col min="2051" max="2066" width="2.5546875" style="403" hidden="1" customWidth="1"/>
    <col min="2067" max="2067" width="4" style="403" hidden="1" customWidth="1"/>
    <col min="2068" max="2071" width="2.5546875" style="403" hidden="1" customWidth="1"/>
    <col min="2072" max="2072" width="2.44140625" style="403" hidden="1" customWidth="1"/>
    <col min="2073" max="2076" width="2.5546875" style="403" hidden="1" customWidth="1"/>
    <col min="2077" max="2077" width="2.44140625" style="403" hidden="1" customWidth="1"/>
    <col min="2078" max="2081" width="2.5546875" style="403" hidden="1" customWidth="1"/>
    <col min="2082" max="2087" width="2.44140625" style="403" hidden="1" customWidth="1"/>
    <col min="2088" max="2088" width="1.5546875" style="403" hidden="1" customWidth="1"/>
    <col min="2089" max="2304" width="2.5546875" style="403" hidden="1"/>
    <col min="2305" max="2305" width="1.5546875" style="403" hidden="1" customWidth="1"/>
    <col min="2306" max="2306" width="0.77734375" style="403" hidden="1" customWidth="1"/>
    <col min="2307" max="2322" width="2.5546875" style="403" hidden="1" customWidth="1"/>
    <col min="2323" max="2323" width="4" style="403" hidden="1" customWidth="1"/>
    <col min="2324" max="2327" width="2.5546875" style="403" hidden="1" customWidth="1"/>
    <col min="2328" max="2328" width="2.44140625" style="403" hidden="1" customWidth="1"/>
    <col min="2329" max="2332" width="2.5546875" style="403" hidden="1" customWidth="1"/>
    <col min="2333" max="2333" width="2.44140625" style="403" hidden="1" customWidth="1"/>
    <col min="2334" max="2337" width="2.5546875" style="403" hidden="1" customWidth="1"/>
    <col min="2338" max="2343" width="2.44140625" style="403" hidden="1" customWidth="1"/>
    <col min="2344" max="2344" width="1.5546875" style="403" hidden="1" customWidth="1"/>
    <col min="2345" max="2560" width="2.5546875" style="403" hidden="1"/>
    <col min="2561" max="2561" width="1.5546875" style="403" hidden="1" customWidth="1"/>
    <col min="2562" max="2562" width="0.77734375" style="403" hidden="1" customWidth="1"/>
    <col min="2563" max="2578" width="2.5546875" style="403" hidden="1" customWidth="1"/>
    <col min="2579" max="2579" width="4" style="403" hidden="1" customWidth="1"/>
    <col min="2580" max="2583" width="2.5546875" style="403" hidden="1" customWidth="1"/>
    <col min="2584" max="2584" width="2.44140625" style="403" hidden="1" customWidth="1"/>
    <col min="2585" max="2588" width="2.5546875" style="403" hidden="1" customWidth="1"/>
    <col min="2589" max="2589" width="2.44140625" style="403" hidden="1" customWidth="1"/>
    <col min="2590" max="2593" width="2.5546875" style="403" hidden="1" customWidth="1"/>
    <col min="2594" max="2599" width="2.44140625" style="403" hidden="1" customWidth="1"/>
    <col min="2600" max="2600" width="1.5546875" style="403" hidden="1" customWidth="1"/>
    <col min="2601" max="2816" width="2.5546875" style="403" hidden="1"/>
    <col min="2817" max="2817" width="1.5546875" style="403" hidden="1" customWidth="1"/>
    <col min="2818" max="2818" width="0.77734375" style="403" hidden="1" customWidth="1"/>
    <col min="2819" max="2834" width="2.5546875" style="403" hidden="1" customWidth="1"/>
    <col min="2835" max="2835" width="4" style="403" hidden="1" customWidth="1"/>
    <col min="2836" max="2839" width="2.5546875" style="403" hidden="1" customWidth="1"/>
    <col min="2840" max="2840" width="2.44140625" style="403" hidden="1" customWidth="1"/>
    <col min="2841" max="2844" width="2.5546875" style="403" hidden="1" customWidth="1"/>
    <col min="2845" max="2845" width="2.44140625" style="403" hidden="1" customWidth="1"/>
    <col min="2846" max="2849" width="2.5546875" style="403" hidden="1" customWidth="1"/>
    <col min="2850" max="2855" width="2.44140625" style="403" hidden="1" customWidth="1"/>
    <col min="2856" max="2856" width="1.5546875" style="403" hidden="1" customWidth="1"/>
    <col min="2857" max="3072" width="2.5546875" style="403" hidden="1"/>
    <col min="3073" max="3073" width="1.5546875" style="403" hidden="1" customWidth="1"/>
    <col min="3074" max="3074" width="0.77734375" style="403" hidden="1" customWidth="1"/>
    <col min="3075" max="3090" width="2.5546875" style="403" hidden="1" customWidth="1"/>
    <col min="3091" max="3091" width="4" style="403" hidden="1" customWidth="1"/>
    <col min="3092" max="3095" width="2.5546875" style="403" hidden="1" customWidth="1"/>
    <col min="3096" max="3096" width="2.44140625" style="403" hidden="1" customWidth="1"/>
    <col min="3097" max="3100" width="2.5546875" style="403" hidden="1" customWidth="1"/>
    <col min="3101" max="3101" width="2.44140625" style="403" hidden="1" customWidth="1"/>
    <col min="3102" max="3105" width="2.5546875" style="403" hidden="1" customWidth="1"/>
    <col min="3106" max="3111" width="2.44140625" style="403" hidden="1" customWidth="1"/>
    <col min="3112" max="3112" width="1.5546875" style="403" hidden="1" customWidth="1"/>
    <col min="3113" max="3328" width="2.5546875" style="403" hidden="1"/>
    <col min="3329" max="3329" width="1.5546875" style="403" hidden="1" customWidth="1"/>
    <col min="3330" max="3330" width="0.77734375" style="403" hidden="1" customWidth="1"/>
    <col min="3331" max="3346" width="2.5546875" style="403" hidden="1" customWidth="1"/>
    <col min="3347" max="3347" width="4" style="403" hidden="1" customWidth="1"/>
    <col min="3348" max="3351" width="2.5546875" style="403" hidden="1" customWidth="1"/>
    <col min="3352" max="3352" width="2.44140625" style="403" hidden="1" customWidth="1"/>
    <col min="3353" max="3356" width="2.5546875" style="403" hidden="1" customWidth="1"/>
    <col min="3357" max="3357" width="2.44140625" style="403" hidden="1" customWidth="1"/>
    <col min="3358" max="3361" width="2.5546875" style="403" hidden="1" customWidth="1"/>
    <col min="3362" max="3367" width="2.44140625" style="403" hidden="1" customWidth="1"/>
    <col min="3368" max="3368" width="1.5546875" style="403" hidden="1" customWidth="1"/>
    <col min="3369" max="3584" width="2.5546875" style="403" hidden="1"/>
    <col min="3585" max="3585" width="1.5546875" style="403" hidden="1" customWidth="1"/>
    <col min="3586" max="3586" width="0.77734375" style="403" hidden="1" customWidth="1"/>
    <col min="3587" max="3602" width="2.5546875" style="403" hidden="1" customWidth="1"/>
    <col min="3603" max="3603" width="4" style="403" hidden="1" customWidth="1"/>
    <col min="3604" max="3607" width="2.5546875" style="403" hidden="1" customWidth="1"/>
    <col min="3608" max="3608" width="2.44140625" style="403" hidden="1" customWidth="1"/>
    <col min="3609" max="3612" width="2.5546875" style="403" hidden="1" customWidth="1"/>
    <col min="3613" max="3613" width="2.44140625" style="403" hidden="1" customWidth="1"/>
    <col min="3614" max="3617" width="2.5546875" style="403" hidden="1" customWidth="1"/>
    <col min="3618" max="3623" width="2.44140625" style="403" hidden="1" customWidth="1"/>
    <col min="3624" max="3624" width="1.5546875" style="403" hidden="1" customWidth="1"/>
    <col min="3625" max="3840" width="2.5546875" style="403" hidden="1"/>
    <col min="3841" max="3841" width="1.5546875" style="403" hidden="1" customWidth="1"/>
    <col min="3842" max="3842" width="0.77734375" style="403" hidden="1" customWidth="1"/>
    <col min="3843" max="3858" width="2.5546875" style="403" hidden="1" customWidth="1"/>
    <col min="3859" max="3859" width="4" style="403" hidden="1" customWidth="1"/>
    <col min="3860" max="3863" width="2.5546875" style="403" hidden="1" customWidth="1"/>
    <col min="3864" max="3864" width="2.44140625" style="403" hidden="1" customWidth="1"/>
    <col min="3865" max="3868" width="2.5546875" style="403" hidden="1" customWidth="1"/>
    <col min="3869" max="3869" width="2.44140625" style="403" hidden="1" customWidth="1"/>
    <col min="3870" max="3873" width="2.5546875" style="403" hidden="1" customWidth="1"/>
    <col min="3874" max="3879" width="2.44140625" style="403" hidden="1" customWidth="1"/>
    <col min="3880" max="3880" width="1.5546875" style="403" hidden="1" customWidth="1"/>
    <col min="3881" max="4096" width="2.5546875" style="403" hidden="1"/>
    <col min="4097" max="4097" width="1.5546875" style="403" hidden="1" customWidth="1"/>
    <col min="4098" max="4098" width="0.77734375" style="403" hidden="1" customWidth="1"/>
    <col min="4099" max="4114" width="2.5546875" style="403" hidden="1" customWidth="1"/>
    <col min="4115" max="4115" width="4" style="403" hidden="1" customWidth="1"/>
    <col min="4116" max="4119" width="2.5546875" style="403" hidden="1" customWidth="1"/>
    <col min="4120" max="4120" width="2.44140625" style="403" hidden="1" customWidth="1"/>
    <col min="4121" max="4124" width="2.5546875" style="403" hidden="1" customWidth="1"/>
    <col min="4125" max="4125" width="2.44140625" style="403" hidden="1" customWidth="1"/>
    <col min="4126" max="4129" width="2.5546875" style="403" hidden="1" customWidth="1"/>
    <col min="4130" max="4135" width="2.44140625" style="403" hidden="1" customWidth="1"/>
    <col min="4136" max="4136" width="1.5546875" style="403" hidden="1" customWidth="1"/>
    <col min="4137" max="4352" width="2.5546875" style="403" hidden="1"/>
    <col min="4353" max="4353" width="1.5546875" style="403" hidden="1" customWidth="1"/>
    <col min="4354" max="4354" width="0.77734375" style="403" hidden="1" customWidth="1"/>
    <col min="4355" max="4370" width="2.5546875" style="403" hidden="1" customWidth="1"/>
    <col min="4371" max="4371" width="4" style="403" hidden="1" customWidth="1"/>
    <col min="4372" max="4375" width="2.5546875" style="403" hidden="1" customWidth="1"/>
    <col min="4376" max="4376" width="2.44140625" style="403" hidden="1" customWidth="1"/>
    <col min="4377" max="4380" width="2.5546875" style="403" hidden="1" customWidth="1"/>
    <col min="4381" max="4381" width="2.44140625" style="403" hidden="1" customWidth="1"/>
    <col min="4382" max="4385" width="2.5546875" style="403" hidden="1" customWidth="1"/>
    <col min="4386" max="4391" width="2.44140625" style="403" hidden="1" customWidth="1"/>
    <col min="4392" max="4392" width="1.5546875" style="403" hidden="1" customWidth="1"/>
    <col min="4393" max="4608" width="2.5546875" style="403" hidden="1"/>
    <col min="4609" max="4609" width="1.5546875" style="403" hidden="1" customWidth="1"/>
    <col min="4610" max="4610" width="0.77734375" style="403" hidden="1" customWidth="1"/>
    <col min="4611" max="4626" width="2.5546875" style="403" hidden="1" customWidth="1"/>
    <col min="4627" max="4627" width="4" style="403" hidden="1" customWidth="1"/>
    <col min="4628" max="4631" width="2.5546875" style="403" hidden="1" customWidth="1"/>
    <col min="4632" max="4632" width="2.44140625" style="403" hidden="1" customWidth="1"/>
    <col min="4633" max="4636" width="2.5546875" style="403" hidden="1" customWidth="1"/>
    <col min="4637" max="4637" width="2.44140625" style="403" hidden="1" customWidth="1"/>
    <col min="4638" max="4641" width="2.5546875" style="403" hidden="1" customWidth="1"/>
    <col min="4642" max="4647" width="2.44140625" style="403" hidden="1" customWidth="1"/>
    <col min="4648" max="4648" width="1.5546875" style="403" hidden="1" customWidth="1"/>
    <col min="4649" max="4864" width="2.5546875" style="403" hidden="1"/>
    <col min="4865" max="4865" width="1.5546875" style="403" hidden="1" customWidth="1"/>
    <col min="4866" max="4866" width="0.77734375" style="403" hidden="1" customWidth="1"/>
    <col min="4867" max="4882" width="2.5546875" style="403" hidden="1" customWidth="1"/>
    <col min="4883" max="4883" width="4" style="403" hidden="1" customWidth="1"/>
    <col min="4884" max="4887" width="2.5546875" style="403" hidden="1" customWidth="1"/>
    <col min="4888" max="4888" width="2.44140625" style="403" hidden="1" customWidth="1"/>
    <col min="4889" max="4892" width="2.5546875" style="403" hidden="1" customWidth="1"/>
    <col min="4893" max="4893" width="2.44140625" style="403" hidden="1" customWidth="1"/>
    <col min="4894" max="4897" width="2.5546875" style="403" hidden="1" customWidth="1"/>
    <col min="4898" max="4903" width="2.44140625" style="403" hidden="1" customWidth="1"/>
    <col min="4904" max="4904" width="1.5546875" style="403" hidden="1" customWidth="1"/>
    <col min="4905" max="5120" width="2.5546875" style="403" hidden="1"/>
    <col min="5121" max="5121" width="1.5546875" style="403" hidden="1" customWidth="1"/>
    <col min="5122" max="5122" width="0.77734375" style="403" hidden="1" customWidth="1"/>
    <col min="5123" max="5138" width="2.5546875" style="403" hidden="1" customWidth="1"/>
    <col min="5139" max="5139" width="4" style="403" hidden="1" customWidth="1"/>
    <col min="5140" max="5143" width="2.5546875" style="403" hidden="1" customWidth="1"/>
    <col min="5144" max="5144" width="2.44140625" style="403" hidden="1" customWidth="1"/>
    <col min="5145" max="5148" width="2.5546875" style="403" hidden="1" customWidth="1"/>
    <col min="5149" max="5149" width="2.44140625" style="403" hidden="1" customWidth="1"/>
    <col min="5150" max="5153" width="2.5546875" style="403" hidden="1" customWidth="1"/>
    <col min="5154" max="5159" width="2.44140625" style="403" hidden="1" customWidth="1"/>
    <col min="5160" max="5160" width="1.5546875" style="403" hidden="1" customWidth="1"/>
    <col min="5161" max="5376" width="2.5546875" style="403" hidden="1"/>
    <col min="5377" max="5377" width="1.5546875" style="403" hidden="1" customWidth="1"/>
    <col min="5378" max="5378" width="0.77734375" style="403" hidden="1" customWidth="1"/>
    <col min="5379" max="5394" width="2.5546875" style="403" hidden="1" customWidth="1"/>
    <col min="5395" max="5395" width="4" style="403" hidden="1" customWidth="1"/>
    <col min="5396" max="5399" width="2.5546875" style="403" hidden="1" customWidth="1"/>
    <col min="5400" max="5400" width="2.44140625" style="403" hidden="1" customWidth="1"/>
    <col min="5401" max="5404" width="2.5546875" style="403" hidden="1" customWidth="1"/>
    <col min="5405" max="5405" width="2.44140625" style="403" hidden="1" customWidth="1"/>
    <col min="5406" max="5409" width="2.5546875" style="403" hidden="1" customWidth="1"/>
    <col min="5410" max="5415" width="2.44140625" style="403" hidden="1" customWidth="1"/>
    <col min="5416" max="5416" width="1.5546875" style="403" hidden="1" customWidth="1"/>
    <col min="5417" max="5632" width="2.5546875" style="403" hidden="1"/>
    <col min="5633" max="5633" width="1.5546875" style="403" hidden="1" customWidth="1"/>
    <col min="5634" max="5634" width="0.77734375" style="403" hidden="1" customWidth="1"/>
    <col min="5635" max="5650" width="2.5546875" style="403" hidden="1" customWidth="1"/>
    <col min="5651" max="5651" width="4" style="403" hidden="1" customWidth="1"/>
    <col min="5652" max="5655" width="2.5546875" style="403" hidden="1" customWidth="1"/>
    <col min="5656" max="5656" width="2.44140625" style="403" hidden="1" customWidth="1"/>
    <col min="5657" max="5660" width="2.5546875" style="403" hidden="1" customWidth="1"/>
    <col min="5661" max="5661" width="2.44140625" style="403" hidden="1" customWidth="1"/>
    <col min="5662" max="5665" width="2.5546875" style="403" hidden="1" customWidth="1"/>
    <col min="5666" max="5671" width="2.44140625" style="403" hidden="1" customWidth="1"/>
    <col min="5672" max="5672" width="1.5546875" style="403" hidden="1" customWidth="1"/>
    <col min="5673" max="5888" width="2.5546875" style="403" hidden="1"/>
    <col min="5889" max="5889" width="1.5546875" style="403" hidden="1" customWidth="1"/>
    <col min="5890" max="5890" width="0.77734375" style="403" hidden="1" customWidth="1"/>
    <col min="5891" max="5906" width="2.5546875" style="403" hidden="1" customWidth="1"/>
    <col min="5907" max="5907" width="4" style="403" hidden="1" customWidth="1"/>
    <col min="5908" max="5911" width="2.5546875" style="403" hidden="1" customWidth="1"/>
    <col min="5912" max="5912" width="2.44140625" style="403" hidden="1" customWidth="1"/>
    <col min="5913" max="5916" width="2.5546875" style="403" hidden="1" customWidth="1"/>
    <col min="5917" max="5917" width="2.44140625" style="403" hidden="1" customWidth="1"/>
    <col min="5918" max="5921" width="2.5546875" style="403" hidden="1" customWidth="1"/>
    <col min="5922" max="5927" width="2.44140625" style="403" hidden="1" customWidth="1"/>
    <col min="5928" max="5928" width="1.5546875" style="403" hidden="1" customWidth="1"/>
    <col min="5929" max="6144" width="2.5546875" style="403" hidden="1"/>
    <col min="6145" max="6145" width="1.5546875" style="403" hidden="1" customWidth="1"/>
    <col min="6146" max="6146" width="0.77734375" style="403" hidden="1" customWidth="1"/>
    <col min="6147" max="6162" width="2.5546875" style="403" hidden="1" customWidth="1"/>
    <col min="6163" max="6163" width="4" style="403" hidden="1" customWidth="1"/>
    <col min="6164" max="6167" width="2.5546875" style="403" hidden="1" customWidth="1"/>
    <col min="6168" max="6168" width="2.44140625" style="403" hidden="1" customWidth="1"/>
    <col min="6169" max="6172" width="2.5546875" style="403" hidden="1" customWidth="1"/>
    <col min="6173" max="6173" width="2.44140625" style="403" hidden="1" customWidth="1"/>
    <col min="6174" max="6177" width="2.5546875" style="403" hidden="1" customWidth="1"/>
    <col min="6178" max="6183" width="2.44140625" style="403" hidden="1" customWidth="1"/>
    <col min="6184" max="6184" width="1.5546875" style="403" hidden="1" customWidth="1"/>
    <col min="6185" max="6400" width="2.5546875" style="403" hidden="1"/>
    <col min="6401" max="6401" width="1.5546875" style="403" hidden="1" customWidth="1"/>
    <col min="6402" max="6402" width="0.77734375" style="403" hidden="1" customWidth="1"/>
    <col min="6403" max="6418" width="2.5546875" style="403" hidden="1" customWidth="1"/>
    <col min="6419" max="6419" width="4" style="403" hidden="1" customWidth="1"/>
    <col min="6420" max="6423" width="2.5546875" style="403" hidden="1" customWidth="1"/>
    <col min="6424" max="6424" width="2.44140625" style="403" hidden="1" customWidth="1"/>
    <col min="6425" max="6428" width="2.5546875" style="403" hidden="1" customWidth="1"/>
    <col min="6429" max="6429" width="2.44140625" style="403" hidden="1" customWidth="1"/>
    <col min="6430" max="6433" width="2.5546875" style="403" hidden="1" customWidth="1"/>
    <col min="6434" max="6439" width="2.44140625" style="403" hidden="1" customWidth="1"/>
    <col min="6440" max="6440" width="1.5546875" style="403" hidden="1" customWidth="1"/>
    <col min="6441" max="6656" width="2.5546875" style="403" hidden="1"/>
    <col min="6657" max="6657" width="1.5546875" style="403" hidden="1" customWidth="1"/>
    <col min="6658" max="6658" width="0.77734375" style="403" hidden="1" customWidth="1"/>
    <col min="6659" max="6674" width="2.5546875" style="403" hidden="1" customWidth="1"/>
    <col min="6675" max="6675" width="4" style="403" hidden="1" customWidth="1"/>
    <col min="6676" max="6679" width="2.5546875" style="403" hidden="1" customWidth="1"/>
    <col min="6680" max="6680" width="2.44140625" style="403" hidden="1" customWidth="1"/>
    <col min="6681" max="6684" width="2.5546875" style="403" hidden="1" customWidth="1"/>
    <col min="6685" max="6685" width="2.44140625" style="403" hidden="1" customWidth="1"/>
    <col min="6686" max="6689" width="2.5546875" style="403" hidden="1" customWidth="1"/>
    <col min="6690" max="6695" width="2.44140625" style="403" hidden="1" customWidth="1"/>
    <col min="6696" max="6696" width="1.5546875" style="403" hidden="1" customWidth="1"/>
    <col min="6697" max="6912" width="2.5546875" style="403" hidden="1"/>
    <col min="6913" max="6913" width="1.5546875" style="403" hidden="1" customWidth="1"/>
    <col min="6914" max="6914" width="0.77734375" style="403" hidden="1" customWidth="1"/>
    <col min="6915" max="6930" width="2.5546875" style="403" hidden="1" customWidth="1"/>
    <col min="6931" max="6931" width="4" style="403" hidden="1" customWidth="1"/>
    <col min="6932" max="6935" width="2.5546875" style="403" hidden="1" customWidth="1"/>
    <col min="6936" max="6936" width="2.44140625" style="403" hidden="1" customWidth="1"/>
    <col min="6937" max="6940" width="2.5546875" style="403" hidden="1" customWidth="1"/>
    <col min="6941" max="6941" width="2.44140625" style="403" hidden="1" customWidth="1"/>
    <col min="6942" max="6945" width="2.5546875" style="403" hidden="1" customWidth="1"/>
    <col min="6946" max="6951" width="2.44140625" style="403" hidden="1" customWidth="1"/>
    <col min="6952" max="6952" width="1.5546875" style="403" hidden="1" customWidth="1"/>
    <col min="6953" max="7168" width="2.5546875" style="403" hidden="1"/>
    <col min="7169" max="7169" width="1.5546875" style="403" hidden="1" customWidth="1"/>
    <col min="7170" max="7170" width="0.77734375" style="403" hidden="1" customWidth="1"/>
    <col min="7171" max="7186" width="2.5546875" style="403" hidden="1" customWidth="1"/>
    <col min="7187" max="7187" width="4" style="403" hidden="1" customWidth="1"/>
    <col min="7188" max="7191" width="2.5546875" style="403" hidden="1" customWidth="1"/>
    <col min="7192" max="7192" width="2.44140625" style="403" hidden="1" customWidth="1"/>
    <col min="7193" max="7196" width="2.5546875" style="403" hidden="1" customWidth="1"/>
    <col min="7197" max="7197" width="2.44140625" style="403" hidden="1" customWidth="1"/>
    <col min="7198" max="7201" width="2.5546875" style="403" hidden="1" customWidth="1"/>
    <col min="7202" max="7207" width="2.44140625" style="403" hidden="1" customWidth="1"/>
    <col min="7208" max="7208" width="1.5546875" style="403" hidden="1" customWidth="1"/>
    <col min="7209" max="7424" width="2.5546875" style="403" hidden="1"/>
    <col min="7425" max="7425" width="1.5546875" style="403" hidden="1" customWidth="1"/>
    <col min="7426" max="7426" width="0.77734375" style="403" hidden="1" customWidth="1"/>
    <col min="7427" max="7442" width="2.5546875" style="403" hidden="1" customWidth="1"/>
    <col min="7443" max="7443" width="4" style="403" hidden="1" customWidth="1"/>
    <col min="7444" max="7447" width="2.5546875" style="403" hidden="1" customWidth="1"/>
    <col min="7448" max="7448" width="2.44140625" style="403" hidden="1" customWidth="1"/>
    <col min="7449" max="7452" width="2.5546875" style="403" hidden="1" customWidth="1"/>
    <col min="7453" max="7453" width="2.44140625" style="403" hidden="1" customWidth="1"/>
    <col min="7454" max="7457" width="2.5546875" style="403" hidden="1" customWidth="1"/>
    <col min="7458" max="7463" width="2.44140625" style="403" hidden="1" customWidth="1"/>
    <col min="7464" max="7464" width="1.5546875" style="403" hidden="1" customWidth="1"/>
    <col min="7465" max="7680" width="2.5546875" style="403" hidden="1"/>
    <col min="7681" max="7681" width="1.5546875" style="403" hidden="1" customWidth="1"/>
    <col min="7682" max="7682" width="0.77734375" style="403" hidden="1" customWidth="1"/>
    <col min="7683" max="7698" width="2.5546875" style="403" hidden="1" customWidth="1"/>
    <col min="7699" max="7699" width="4" style="403" hidden="1" customWidth="1"/>
    <col min="7700" max="7703" width="2.5546875" style="403" hidden="1" customWidth="1"/>
    <col min="7704" max="7704" width="2.44140625" style="403" hidden="1" customWidth="1"/>
    <col min="7705" max="7708" width="2.5546875" style="403" hidden="1" customWidth="1"/>
    <col min="7709" max="7709" width="2.44140625" style="403" hidden="1" customWidth="1"/>
    <col min="7710" max="7713" width="2.5546875" style="403" hidden="1" customWidth="1"/>
    <col min="7714" max="7719" width="2.44140625" style="403" hidden="1" customWidth="1"/>
    <col min="7720" max="7720" width="1.5546875" style="403" hidden="1" customWidth="1"/>
    <col min="7721" max="7936" width="2.5546875" style="403" hidden="1"/>
    <col min="7937" max="7937" width="1.5546875" style="403" hidden="1" customWidth="1"/>
    <col min="7938" max="7938" width="0.77734375" style="403" hidden="1" customWidth="1"/>
    <col min="7939" max="7954" width="2.5546875" style="403" hidden="1" customWidth="1"/>
    <col min="7955" max="7955" width="4" style="403" hidden="1" customWidth="1"/>
    <col min="7956" max="7959" width="2.5546875" style="403" hidden="1" customWidth="1"/>
    <col min="7960" max="7960" width="2.44140625" style="403" hidden="1" customWidth="1"/>
    <col min="7961" max="7964" width="2.5546875" style="403" hidden="1" customWidth="1"/>
    <col min="7965" max="7965" width="2.44140625" style="403" hidden="1" customWidth="1"/>
    <col min="7966" max="7969" width="2.5546875" style="403" hidden="1" customWidth="1"/>
    <col min="7970" max="7975" width="2.44140625" style="403" hidden="1" customWidth="1"/>
    <col min="7976" max="7976" width="1.5546875" style="403" hidden="1" customWidth="1"/>
    <col min="7977" max="8192" width="2.5546875" style="403" hidden="1"/>
    <col min="8193" max="8193" width="1.5546875" style="403" hidden="1" customWidth="1"/>
    <col min="8194" max="8194" width="0.77734375" style="403" hidden="1" customWidth="1"/>
    <col min="8195" max="8210" width="2.5546875" style="403" hidden="1" customWidth="1"/>
    <col min="8211" max="8211" width="4" style="403" hidden="1" customWidth="1"/>
    <col min="8212" max="8215" width="2.5546875" style="403" hidden="1" customWidth="1"/>
    <col min="8216" max="8216" width="2.44140625" style="403" hidden="1" customWidth="1"/>
    <col min="8217" max="8220" width="2.5546875" style="403" hidden="1" customWidth="1"/>
    <col min="8221" max="8221" width="2.44140625" style="403" hidden="1" customWidth="1"/>
    <col min="8222" max="8225" width="2.5546875" style="403" hidden="1" customWidth="1"/>
    <col min="8226" max="8231" width="2.44140625" style="403" hidden="1" customWidth="1"/>
    <col min="8232" max="8232" width="1.5546875" style="403" hidden="1" customWidth="1"/>
    <col min="8233" max="8448" width="2.5546875" style="403" hidden="1"/>
    <col min="8449" max="8449" width="1.5546875" style="403" hidden="1" customWidth="1"/>
    <col min="8450" max="8450" width="0.77734375" style="403" hidden="1" customWidth="1"/>
    <col min="8451" max="8466" width="2.5546875" style="403" hidden="1" customWidth="1"/>
    <col min="8467" max="8467" width="4" style="403" hidden="1" customWidth="1"/>
    <col min="8468" max="8471" width="2.5546875" style="403" hidden="1" customWidth="1"/>
    <col min="8472" max="8472" width="2.44140625" style="403" hidden="1" customWidth="1"/>
    <col min="8473" max="8476" width="2.5546875" style="403" hidden="1" customWidth="1"/>
    <col min="8477" max="8477" width="2.44140625" style="403" hidden="1" customWidth="1"/>
    <col min="8478" max="8481" width="2.5546875" style="403" hidden="1" customWidth="1"/>
    <col min="8482" max="8487" width="2.44140625" style="403" hidden="1" customWidth="1"/>
    <col min="8488" max="8488" width="1.5546875" style="403" hidden="1" customWidth="1"/>
    <col min="8489" max="8704" width="2.5546875" style="403" hidden="1"/>
    <col min="8705" max="8705" width="1.5546875" style="403" hidden="1" customWidth="1"/>
    <col min="8706" max="8706" width="0.77734375" style="403" hidden="1" customWidth="1"/>
    <col min="8707" max="8722" width="2.5546875" style="403" hidden="1" customWidth="1"/>
    <col min="8723" max="8723" width="4" style="403" hidden="1" customWidth="1"/>
    <col min="8724" max="8727" width="2.5546875" style="403" hidden="1" customWidth="1"/>
    <col min="8728" max="8728" width="2.44140625" style="403" hidden="1" customWidth="1"/>
    <col min="8729" max="8732" width="2.5546875" style="403" hidden="1" customWidth="1"/>
    <col min="8733" max="8733" width="2.44140625" style="403" hidden="1" customWidth="1"/>
    <col min="8734" max="8737" width="2.5546875" style="403" hidden="1" customWidth="1"/>
    <col min="8738" max="8743" width="2.44140625" style="403" hidden="1" customWidth="1"/>
    <col min="8744" max="8744" width="1.5546875" style="403" hidden="1" customWidth="1"/>
    <col min="8745" max="8960" width="2.5546875" style="403" hidden="1"/>
    <col min="8961" max="8961" width="1.5546875" style="403" hidden="1" customWidth="1"/>
    <col min="8962" max="8962" width="0.77734375" style="403" hidden="1" customWidth="1"/>
    <col min="8963" max="8978" width="2.5546875" style="403" hidden="1" customWidth="1"/>
    <col min="8979" max="8979" width="4" style="403" hidden="1" customWidth="1"/>
    <col min="8980" max="8983" width="2.5546875" style="403" hidden="1" customWidth="1"/>
    <col min="8984" max="8984" width="2.44140625" style="403" hidden="1" customWidth="1"/>
    <col min="8985" max="8988" width="2.5546875" style="403" hidden="1" customWidth="1"/>
    <col min="8989" max="8989" width="2.44140625" style="403" hidden="1" customWidth="1"/>
    <col min="8990" max="8993" width="2.5546875" style="403" hidden="1" customWidth="1"/>
    <col min="8994" max="8999" width="2.44140625" style="403" hidden="1" customWidth="1"/>
    <col min="9000" max="9000" width="1.5546875" style="403" hidden="1" customWidth="1"/>
    <col min="9001" max="9216" width="2.5546875" style="403" hidden="1"/>
    <col min="9217" max="9217" width="1.5546875" style="403" hidden="1" customWidth="1"/>
    <col min="9218" max="9218" width="0.77734375" style="403" hidden="1" customWidth="1"/>
    <col min="9219" max="9234" width="2.5546875" style="403" hidden="1" customWidth="1"/>
    <col min="9235" max="9235" width="4" style="403" hidden="1" customWidth="1"/>
    <col min="9236" max="9239" width="2.5546875" style="403" hidden="1" customWidth="1"/>
    <col min="9240" max="9240" width="2.44140625" style="403" hidden="1" customWidth="1"/>
    <col min="9241" max="9244" width="2.5546875" style="403" hidden="1" customWidth="1"/>
    <col min="9245" max="9245" width="2.44140625" style="403" hidden="1" customWidth="1"/>
    <col min="9246" max="9249" width="2.5546875" style="403" hidden="1" customWidth="1"/>
    <col min="9250" max="9255" width="2.44140625" style="403" hidden="1" customWidth="1"/>
    <col min="9256" max="9256" width="1.5546875" style="403" hidden="1" customWidth="1"/>
    <col min="9257" max="9472" width="2.5546875" style="403" hidden="1"/>
    <col min="9473" max="9473" width="1.5546875" style="403" hidden="1" customWidth="1"/>
    <col min="9474" max="9474" width="0.77734375" style="403" hidden="1" customWidth="1"/>
    <col min="9475" max="9490" width="2.5546875" style="403" hidden="1" customWidth="1"/>
    <col min="9491" max="9491" width="4" style="403" hidden="1" customWidth="1"/>
    <col min="9492" max="9495" width="2.5546875" style="403" hidden="1" customWidth="1"/>
    <col min="9496" max="9496" width="2.44140625" style="403" hidden="1" customWidth="1"/>
    <col min="9497" max="9500" width="2.5546875" style="403" hidden="1" customWidth="1"/>
    <col min="9501" max="9501" width="2.44140625" style="403" hidden="1" customWidth="1"/>
    <col min="9502" max="9505" width="2.5546875" style="403" hidden="1" customWidth="1"/>
    <col min="9506" max="9511" width="2.44140625" style="403" hidden="1" customWidth="1"/>
    <col min="9512" max="9512" width="1.5546875" style="403" hidden="1" customWidth="1"/>
    <col min="9513" max="9728" width="2.5546875" style="403" hidden="1"/>
    <col min="9729" max="9729" width="1.5546875" style="403" hidden="1" customWidth="1"/>
    <col min="9730" max="9730" width="0.77734375" style="403" hidden="1" customWidth="1"/>
    <col min="9731" max="9746" width="2.5546875" style="403" hidden="1" customWidth="1"/>
    <col min="9747" max="9747" width="4" style="403" hidden="1" customWidth="1"/>
    <col min="9748" max="9751" width="2.5546875" style="403" hidden="1" customWidth="1"/>
    <col min="9752" max="9752" width="2.44140625" style="403" hidden="1" customWidth="1"/>
    <col min="9753" max="9756" width="2.5546875" style="403" hidden="1" customWidth="1"/>
    <col min="9757" max="9757" width="2.44140625" style="403" hidden="1" customWidth="1"/>
    <col min="9758" max="9761" width="2.5546875" style="403" hidden="1" customWidth="1"/>
    <col min="9762" max="9767" width="2.44140625" style="403" hidden="1" customWidth="1"/>
    <col min="9768" max="9768" width="1.5546875" style="403" hidden="1" customWidth="1"/>
    <col min="9769" max="9984" width="2.5546875" style="403" hidden="1"/>
    <col min="9985" max="9985" width="1.5546875" style="403" hidden="1" customWidth="1"/>
    <col min="9986" max="9986" width="0.77734375" style="403" hidden="1" customWidth="1"/>
    <col min="9987" max="10002" width="2.5546875" style="403" hidden="1" customWidth="1"/>
    <col min="10003" max="10003" width="4" style="403" hidden="1" customWidth="1"/>
    <col min="10004" max="10007" width="2.5546875" style="403" hidden="1" customWidth="1"/>
    <col min="10008" max="10008" width="2.44140625" style="403" hidden="1" customWidth="1"/>
    <col min="10009" max="10012" width="2.5546875" style="403" hidden="1" customWidth="1"/>
    <col min="10013" max="10013" width="2.44140625" style="403" hidden="1" customWidth="1"/>
    <col min="10014" max="10017" width="2.5546875" style="403" hidden="1" customWidth="1"/>
    <col min="10018" max="10023" width="2.44140625" style="403" hidden="1" customWidth="1"/>
    <col min="10024" max="10024" width="1.5546875" style="403" hidden="1" customWidth="1"/>
    <col min="10025" max="10240" width="2.5546875" style="403" hidden="1"/>
    <col min="10241" max="10241" width="1.5546875" style="403" hidden="1" customWidth="1"/>
    <col min="10242" max="10242" width="0.77734375" style="403" hidden="1" customWidth="1"/>
    <col min="10243" max="10258" width="2.5546875" style="403" hidden="1" customWidth="1"/>
    <col min="10259" max="10259" width="4" style="403" hidden="1" customWidth="1"/>
    <col min="10260" max="10263" width="2.5546875" style="403" hidden="1" customWidth="1"/>
    <col min="10264" max="10264" width="2.44140625" style="403" hidden="1" customWidth="1"/>
    <col min="10265" max="10268" width="2.5546875" style="403" hidden="1" customWidth="1"/>
    <col min="10269" max="10269" width="2.44140625" style="403" hidden="1" customWidth="1"/>
    <col min="10270" max="10273" width="2.5546875" style="403" hidden="1" customWidth="1"/>
    <col min="10274" max="10279" width="2.44140625" style="403" hidden="1" customWidth="1"/>
    <col min="10280" max="10280" width="1.5546875" style="403" hidden="1" customWidth="1"/>
    <col min="10281" max="10496" width="2.5546875" style="403" hidden="1"/>
    <col min="10497" max="10497" width="1.5546875" style="403" hidden="1" customWidth="1"/>
    <col min="10498" max="10498" width="0.77734375" style="403" hidden="1" customWidth="1"/>
    <col min="10499" max="10514" width="2.5546875" style="403" hidden="1" customWidth="1"/>
    <col min="10515" max="10515" width="4" style="403" hidden="1" customWidth="1"/>
    <col min="10516" max="10519" width="2.5546875" style="403" hidden="1" customWidth="1"/>
    <col min="10520" max="10520" width="2.44140625" style="403" hidden="1" customWidth="1"/>
    <col min="10521" max="10524" width="2.5546875" style="403" hidden="1" customWidth="1"/>
    <col min="10525" max="10525" width="2.44140625" style="403" hidden="1" customWidth="1"/>
    <col min="10526" max="10529" width="2.5546875" style="403" hidden="1" customWidth="1"/>
    <col min="10530" max="10535" width="2.44140625" style="403" hidden="1" customWidth="1"/>
    <col min="10536" max="10536" width="1.5546875" style="403" hidden="1" customWidth="1"/>
    <col min="10537" max="10752" width="2.5546875" style="403" hidden="1"/>
    <col min="10753" max="10753" width="1.5546875" style="403" hidden="1" customWidth="1"/>
    <col min="10754" max="10754" width="0.77734375" style="403" hidden="1" customWidth="1"/>
    <col min="10755" max="10770" width="2.5546875" style="403" hidden="1" customWidth="1"/>
    <col min="10771" max="10771" width="4" style="403" hidden="1" customWidth="1"/>
    <col min="10772" max="10775" width="2.5546875" style="403" hidden="1" customWidth="1"/>
    <col min="10776" max="10776" width="2.44140625" style="403" hidden="1" customWidth="1"/>
    <col min="10777" max="10780" width="2.5546875" style="403" hidden="1" customWidth="1"/>
    <col min="10781" max="10781" width="2.44140625" style="403" hidden="1" customWidth="1"/>
    <col min="10782" max="10785" width="2.5546875" style="403" hidden="1" customWidth="1"/>
    <col min="10786" max="10791" width="2.44140625" style="403" hidden="1" customWidth="1"/>
    <col min="10792" max="10792" width="1.5546875" style="403" hidden="1" customWidth="1"/>
    <col min="10793" max="11008" width="2.5546875" style="403" hidden="1"/>
    <col min="11009" max="11009" width="1.5546875" style="403" hidden="1" customWidth="1"/>
    <col min="11010" max="11010" width="0.77734375" style="403" hidden="1" customWidth="1"/>
    <col min="11011" max="11026" width="2.5546875" style="403" hidden="1" customWidth="1"/>
    <col min="11027" max="11027" width="4" style="403" hidden="1" customWidth="1"/>
    <col min="11028" max="11031" width="2.5546875" style="403" hidden="1" customWidth="1"/>
    <col min="11032" max="11032" width="2.44140625" style="403" hidden="1" customWidth="1"/>
    <col min="11033" max="11036" width="2.5546875" style="403" hidden="1" customWidth="1"/>
    <col min="11037" max="11037" width="2.44140625" style="403" hidden="1" customWidth="1"/>
    <col min="11038" max="11041" width="2.5546875" style="403" hidden="1" customWidth="1"/>
    <col min="11042" max="11047" width="2.44140625" style="403" hidden="1" customWidth="1"/>
    <col min="11048" max="11048" width="1.5546875" style="403" hidden="1" customWidth="1"/>
    <col min="11049" max="11264" width="2.5546875" style="403" hidden="1"/>
    <col min="11265" max="11265" width="1.5546875" style="403" hidden="1" customWidth="1"/>
    <col min="11266" max="11266" width="0.77734375" style="403" hidden="1" customWidth="1"/>
    <col min="11267" max="11282" width="2.5546875" style="403" hidden="1" customWidth="1"/>
    <col min="11283" max="11283" width="4" style="403" hidden="1" customWidth="1"/>
    <col min="11284" max="11287" width="2.5546875" style="403" hidden="1" customWidth="1"/>
    <col min="11288" max="11288" width="2.44140625" style="403" hidden="1" customWidth="1"/>
    <col min="11289" max="11292" width="2.5546875" style="403" hidden="1" customWidth="1"/>
    <col min="11293" max="11293" width="2.44140625" style="403" hidden="1" customWidth="1"/>
    <col min="11294" max="11297" width="2.5546875" style="403" hidden="1" customWidth="1"/>
    <col min="11298" max="11303" width="2.44140625" style="403" hidden="1" customWidth="1"/>
    <col min="11304" max="11304" width="1.5546875" style="403" hidden="1" customWidth="1"/>
    <col min="11305" max="11520" width="2.5546875" style="403" hidden="1"/>
    <col min="11521" max="11521" width="1.5546875" style="403" hidden="1" customWidth="1"/>
    <col min="11522" max="11522" width="0.77734375" style="403" hidden="1" customWidth="1"/>
    <col min="11523" max="11538" width="2.5546875" style="403" hidden="1" customWidth="1"/>
    <col min="11539" max="11539" width="4" style="403" hidden="1" customWidth="1"/>
    <col min="11540" max="11543" width="2.5546875" style="403" hidden="1" customWidth="1"/>
    <col min="11544" max="11544" width="2.44140625" style="403" hidden="1" customWidth="1"/>
    <col min="11545" max="11548" width="2.5546875" style="403" hidden="1" customWidth="1"/>
    <col min="11549" max="11549" width="2.44140625" style="403" hidden="1" customWidth="1"/>
    <col min="11550" max="11553" width="2.5546875" style="403" hidden="1" customWidth="1"/>
    <col min="11554" max="11559" width="2.44140625" style="403" hidden="1" customWidth="1"/>
    <col min="11560" max="11560" width="1.5546875" style="403" hidden="1" customWidth="1"/>
    <col min="11561" max="11776" width="2.5546875" style="403" hidden="1"/>
    <col min="11777" max="11777" width="1.5546875" style="403" hidden="1" customWidth="1"/>
    <col min="11778" max="11778" width="0.77734375" style="403" hidden="1" customWidth="1"/>
    <col min="11779" max="11794" width="2.5546875" style="403" hidden="1" customWidth="1"/>
    <col min="11795" max="11795" width="4" style="403" hidden="1" customWidth="1"/>
    <col min="11796" max="11799" width="2.5546875" style="403" hidden="1" customWidth="1"/>
    <col min="11800" max="11800" width="2.44140625" style="403" hidden="1" customWidth="1"/>
    <col min="11801" max="11804" width="2.5546875" style="403" hidden="1" customWidth="1"/>
    <col min="11805" max="11805" width="2.44140625" style="403" hidden="1" customWidth="1"/>
    <col min="11806" max="11809" width="2.5546875" style="403" hidden="1" customWidth="1"/>
    <col min="11810" max="11815" width="2.44140625" style="403" hidden="1" customWidth="1"/>
    <col min="11816" max="11816" width="1.5546875" style="403" hidden="1" customWidth="1"/>
    <col min="11817" max="12032" width="2.5546875" style="403" hidden="1"/>
    <col min="12033" max="12033" width="1.5546875" style="403" hidden="1" customWidth="1"/>
    <col min="12034" max="12034" width="0.77734375" style="403" hidden="1" customWidth="1"/>
    <col min="12035" max="12050" width="2.5546875" style="403" hidden="1" customWidth="1"/>
    <col min="12051" max="12051" width="4" style="403" hidden="1" customWidth="1"/>
    <col min="12052" max="12055" width="2.5546875" style="403" hidden="1" customWidth="1"/>
    <col min="12056" max="12056" width="2.44140625" style="403" hidden="1" customWidth="1"/>
    <col min="12057" max="12060" width="2.5546875" style="403" hidden="1" customWidth="1"/>
    <col min="12061" max="12061" width="2.44140625" style="403" hidden="1" customWidth="1"/>
    <col min="12062" max="12065" width="2.5546875" style="403" hidden="1" customWidth="1"/>
    <col min="12066" max="12071" width="2.44140625" style="403" hidden="1" customWidth="1"/>
    <col min="12072" max="12072" width="1.5546875" style="403" hidden="1" customWidth="1"/>
    <col min="12073" max="12288" width="2.5546875" style="403" hidden="1"/>
    <col min="12289" max="12289" width="1.5546875" style="403" hidden="1" customWidth="1"/>
    <col min="12290" max="12290" width="0.77734375" style="403" hidden="1" customWidth="1"/>
    <col min="12291" max="12306" width="2.5546875" style="403" hidden="1" customWidth="1"/>
    <col min="12307" max="12307" width="4" style="403" hidden="1" customWidth="1"/>
    <col min="12308" max="12311" width="2.5546875" style="403" hidden="1" customWidth="1"/>
    <col min="12312" max="12312" width="2.44140625" style="403" hidden="1" customWidth="1"/>
    <col min="12313" max="12316" width="2.5546875" style="403" hidden="1" customWidth="1"/>
    <col min="12317" max="12317" width="2.44140625" style="403" hidden="1" customWidth="1"/>
    <col min="12318" max="12321" width="2.5546875" style="403" hidden="1" customWidth="1"/>
    <col min="12322" max="12327" width="2.44140625" style="403" hidden="1" customWidth="1"/>
    <col min="12328" max="12328" width="1.5546875" style="403" hidden="1" customWidth="1"/>
    <col min="12329" max="12544" width="2.5546875" style="403" hidden="1"/>
    <col min="12545" max="12545" width="1.5546875" style="403" hidden="1" customWidth="1"/>
    <col min="12546" max="12546" width="0.77734375" style="403" hidden="1" customWidth="1"/>
    <col min="12547" max="12562" width="2.5546875" style="403" hidden="1" customWidth="1"/>
    <col min="12563" max="12563" width="4" style="403" hidden="1" customWidth="1"/>
    <col min="12564" max="12567" width="2.5546875" style="403" hidden="1" customWidth="1"/>
    <col min="12568" max="12568" width="2.44140625" style="403" hidden="1" customWidth="1"/>
    <col min="12569" max="12572" width="2.5546875" style="403" hidden="1" customWidth="1"/>
    <col min="12573" max="12573" width="2.44140625" style="403" hidden="1" customWidth="1"/>
    <col min="12574" max="12577" width="2.5546875" style="403" hidden="1" customWidth="1"/>
    <col min="12578" max="12583" width="2.44140625" style="403" hidden="1" customWidth="1"/>
    <col min="12584" max="12584" width="1.5546875" style="403" hidden="1" customWidth="1"/>
    <col min="12585" max="12800" width="2.5546875" style="403" hidden="1"/>
    <col min="12801" max="12801" width="1.5546875" style="403" hidden="1" customWidth="1"/>
    <col min="12802" max="12802" width="0.77734375" style="403" hidden="1" customWidth="1"/>
    <col min="12803" max="12818" width="2.5546875" style="403" hidden="1" customWidth="1"/>
    <col min="12819" max="12819" width="4" style="403" hidden="1" customWidth="1"/>
    <col min="12820" max="12823" width="2.5546875" style="403" hidden="1" customWidth="1"/>
    <col min="12824" max="12824" width="2.44140625" style="403" hidden="1" customWidth="1"/>
    <col min="12825" max="12828" width="2.5546875" style="403" hidden="1" customWidth="1"/>
    <col min="12829" max="12829" width="2.44140625" style="403" hidden="1" customWidth="1"/>
    <col min="12830" max="12833" width="2.5546875" style="403" hidden="1" customWidth="1"/>
    <col min="12834" max="12839" width="2.44140625" style="403" hidden="1" customWidth="1"/>
    <col min="12840" max="12840" width="1.5546875" style="403" hidden="1" customWidth="1"/>
    <col min="12841" max="13056" width="2.5546875" style="403" hidden="1"/>
    <col min="13057" max="13057" width="1.5546875" style="403" hidden="1" customWidth="1"/>
    <col min="13058" max="13058" width="0.77734375" style="403" hidden="1" customWidth="1"/>
    <col min="13059" max="13074" width="2.5546875" style="403" hidden="1" customWidth="1"/>
    <col min="13075" max="13075" width="4" style="403" hidden="1" customWidth="1"/>
    <col min="13076" max="13079" width="2.5546875" style="403" hidden="1" customWidth="1"/>
    <col min="13080" max="13080" width="2.44140625" style="403" hidden="1" customWidth="1"/>
    <col min="13081" max="13084" width="2.5546875" style="403" hidden="1" customWidth="1"/>
    <col min="13085" max="13085" width="2.44140625" style="403" hidden="1" customWidth="1"/>
    <col min="13086" max="13089" width="2.5546875" style="403" hidden="1" customWidth="1"/>
    <col min="13090" max="13095" width="2.44140625" style="403" hidden="1" customWidth="1"/>
    <col min="13096" max="13096" width="1.5546875" style="403" hidden="1" customWidth="1"/>
    <col min="13097" max="13312" width="2.5546875" style="403" hidden="1"/>
    <col min="13313" max="13313" width="1.5546875" style="403" hidden="1" customWidth="1"/>
    <col min="13314" max="13314" width="0.77734375" style="403" hidden="1" customWidth="1"/>
    <col min="13315" max="13330" width="2.5546875" style="403" hidden="1" customWidth="1"/>
    <col min="13331" max="13331" width="4" style="403" hidden="1" customWidth="1"/>
    <col min="13332" max="13335" width="2.5546875" style="403" hidden="1" customWidth="1"/>
    <col min="13336" max="13336" width="2.44140625" style="403" hidden="1" customWidth="1"/>
    <col min="13337" max="13340" width="2.5546875" style="403" hidden="1" customWidth="1"/>
    <col min="13341" max="13341" width="2.44140625" style="403" hidden="1" customWidth="1"/>
    <col min="13342" max="13345" width="2.5546875" style="403" hidden="1" customWidth="1"/>
    <col min="13346" max="13351" width="2.44140625" style="403" hidden="1" customWidth="1"/>
    <col min="13352" max="13352" width="1.5546875" style="403" hidden="1" customWidth="1"/>
    <col min="13353" max="13568" width="2.5546875" style="403" hidden="1"/>
    <col min="13569" max="13569" width="1.5546875" style="403" hidden="1" customWidth="1"/>
    <col min="13570" max="13570" width="0.77734375" style="403" hidden="1" customWidth="1"/>
    <col min="13571" max="13586" width="2.5546875" style="403" hidden="1" customWidth="1"/>
    <col min="13587" max="13587" width="4" style="403" hidden="1" customWidth="1"/>
    <col min="13588" max="13591" width="2.5546875" style="403" hidden="1" customWidth="1"/>
    <col min="13592" max="13592" width="2.44140625" style="403" hidden="1" customWidth="1"/>
    <col min="13593" max="13596" width="2.5546875" style="403" hidden="1" customWidth="1"/>
    <col min="13597" max="13597" width="2.44140625" style="403" hidden="1" customWidth="1"/>
    <col min="13598" max="13601" width="2.5546875" style="403" hidden="1" customWidth="1"/>
    <col min="13602" max="13607" width="2.44140625" style="403" hidden="1" customWidth="1"/>
    <col min="13608" max="13608" width="1.5546875" style="403" hidden="1" customWidth="1"/>
    <col min="13609" max="13824" width="2.5546875" style="403" hidden="1"/>
    <col min="13825" max="13825" width="1.5546875" style="403" hidden="1" customWidth="1"/>
    <col min="13826" max="13826" width="0.77734375" style="403" hidden="1" customWidth="1"/>
    <col min="13827" max="13842" width="2.5546875" style="403" hidden="1" customWidth="1"/>
    <col min="13843" max="13843" width="4" style="403" hidden="1" customWidth="1"/>
    <col min="13844" max="13847" width="2.5546875" style="403" hidden="1" customWidth="1"/>
    <col min="13848" max="13848" width="2.44140625" style="403" hidden="1" customWidth="1"/>
    <col min="13849" max="13852" width="2.5546875" style="403" hidden="1" customWidth="1"/>
    <col min="13853" max="13853" width="2.44140625" style="403" hidden="1" customWidth="1"/>
    <col min="13854" max="13857" width="2.5546875" style="403" hidden="1" customWidth="1"/>
    <col min="13858" max="13863" width="2.44140625" style="403" hidden="1" customWidth="1"/>
    <col min="13864" max="13864" width="1.5546875" style="403" hidden="1" customWidth="1"/>
    <col min="13865" max="14080" width="2.5546875" style="403" hidden="1"/>
    <col min="14081" max="14081" width="1.5546875" style="403" hidden="1" customWidth="1"/>
    <col min="14082" max="14082" width="0.77734375" style="403" hidden="1" customWidth="1"/>
    <col min="14083" max="14098" width="2.5546875" style="403" hidden="1" customWidth="1"/>
    <col min="14099" max="14099" width="4" style="403" hidden="1" customWidth="1"/>
    <col min="14100" max="14103" width="2.5546875" style="403" hidden="1" customWidth="1"/>
    <col min="14104" max="14104" width="2.44140625" style="403" hidden="1" customWidth="1"/>
    <col min="14105" max="14108" width="2.5546875" style="403" hidden="1" customWidth="1"/>
    <col min="14109" max="14109" width="2.44140625" style="403" hidden="1" customWidth="1"/>
    <col min="14110" max="14113" width="2.5546875" style="403" hidden="1" customWidth="1"/>
    <col min="14114" max="14119" width="2.44140625" style="403" hidden="1" customWidth="1"/>
    <col min="14120" max="14120" width="1.5546875" style="403" hidden="1" customWidth="1"/>
    <col min="14121" max="14336" width="2.5546875" style="403" hidden="1"/>
    <col min="14337" max="14337" width="1.5546875" style="403" hidden="1" customWidth="1"/>
    <col min="14338" max="14338" width="0.77734375" style="403" hidden="1" customWidth="1"/>
    <col min="14339" max="14354" width="2.5546875" style="403" hidden="1" customWidth="1"/>
    <col min="14355" max="14355" width="4" style="403" hidden="1" customWidth="1"/>
    <col min="14356" max="14359" width="2.5546875" style="403" hidden="1" customWidth="1"/>
    <col min="14360" max="14360" width="2.44140625" style="403" hidden="1" customWidth="1"/>
    <col min="14361" max="14364" width="2.5546875" style="403" hidden="1" customWidth="1"/>
    <col min="14365" max="14365" width="2.44140625" style="403" hidden="1" customWidth="1"/>
    <col min="14366" max="14369" width="2.5546875" style="403" hidden="1" customWidth="1"/>
    <col min="14370" max="14375" width="2.44140625" style="403" hidden="1" customWidth="1"/>
    <col min="14376" max="14376" width="1.5546875" style="403" hidden="1" customWidth="1"/>
    <col min="14377" max="14592" width="2.5546875" style="403" hidden="1"/>
    <col min="14593" max="14593" width="1.5546875" style="403" hidden="1" customWidth="1"/>
    <col min="14594" max="14594" width="0.77734375" style="403" hidden="1" customWidth="1"/>
    <col min="14595" max="14610" width="2.5546875" style="403" hidden="1" customWidth="1"/>
    <col min="14611" max="14611" width="4" style="403" hidden="1" customWidth="1"/>
    <col min="14612" max="14615" width="2.5546875" style="403" hidden="1" customWidth="1"/>
    <col min="14616" max="14616" width="2.44140625" style="403" hidden="1" customWidth="1"/>
    <col min="14617" max="14620" width="2.5546875" style="403" hidden="1" customWidth="1"/>
    <col min="14621" max="14621" width="2.44140625" style="403" hidden="1" customWidth="1"/>
    <col min="14622" max="14625" width="2.5546875" style="403" hidden="1" customWidth="1"/>
    <col min="14626" max="14631" width="2.44140625" style="403" hidden="1" customWidth="1"/>
    <col min="14632" max="14632" width="1.5546875" style="403" hidden="1" customWidth="1"/>
    <col min="14633" max="14848" width="2.5546875" style="403" hidden="1"/>
    <col min="14849" max="14849" width="1.5546875" style="403" hidden="1" customWidth="1"/>
    <col min="14850" max="14850" width="0.77734375" style="403" hidden="1" customWidth="1"/>
    <col min="14851" max="14866" width="2.5546875" style="403" hidden="1" customWidth="1"/>
    <col min="14867" max="14867" width="4" style="403" hidden="1" customWidth="1"/>
    <col min="14868" max="14871" width="2.5546875" style="403" hidden="1" customWidth="1"/>
    <col min="14872" max="14872" width="2.44140625" style="403" hidden="1" customWidth="1"/>
    <col min="14873" max="14876" width="2.5546875" style="403" hidden="1" customWidth="1"/>
    <col min="14877" max="14877" width="2.44140625" style="403" hidden="1" customWidth="1"/>
    <col min="14878" max="14881" width="2.5546875" style="403" hidden="1" customWidth="1"/>
    <col min="14882" max="14887" width="2.44140625" style="403" hidden="1" customWidth="1"/>
    <col min="14888" max="14888" width="1.5546875" style="403" hidden="1" customWidth="1"/>
    <col min="14889" max="15104" width="2.5546875" style="403" hidden="1"/>
    <col min="15105" max="15105" width="1.5546875" style="403" hidden="1" customWidth="1"/>
    <col min="15106" max="15106" width="0.77734375" style="403" hidden="1" customWidth="1"/>
    <col min="15107" max="15122" width="2.5546875" style="403" hidden="1" customWidth="1"/>
    <col min="15123" max="15123" width="4" style="403" hidden="1" customWidth="1"/>
    <col min="15124" max="15127" width="2.5546875" style="403" hidden="1" customWidth="1"/>
    <col min="15128" max="15128" width="2.44140625" style="403" hidden="1" customWidth="1"/>
    <col min="15129" max="15132" width="2.5546875" style="403" hidden="1" customWidth="1"/>
    <col min="15133" max="15133" width="2.44140625" style="403" hidden="1" customWidth="1"/>
    <col min="15134" max="15137" width="2.5546875" style="403" hidden="1" customWidth="1"/>
    <col min="15138" max="15143" width="2.44140625" style="403" hidden="1" customWidth="1"/>
    <col min="15144" max="15144" width="1.5546875" style="403" hidden="1" customWidth="1"/>
    <col min="15145" max="15360" width="2.5546875" style="403" hidden="1"/>
    <col min="15361" max="15361" width="1.5546875" style="403" hidden="1" customWidth="1"/>
    <col min="15362" max="15362" width="0.77734375" style="403" hidden="1" customWidth="1"/>
    <col min="15363" max="15378" width="2.5546875" style="403" hidden="1" customWidth="1"/>
    <col min="15379" max="15379" width="4" style="403" hidden="1" customWidth="1"/>
    <col min="15380" max="15383" width="2.5546875" style="403" hidden="1" customWidth="1"/>
    <col min="15384" max="15384" width="2.44140625" style="403" hidden="1" customWidth="1"/>
    <col min="15385" max="15388" width="2.5546875" style="403" hidden="1" customWidth="1"/>
    <col min="15389" max="15389" width="2.44140625" style="403" hidden="1" customWidth="1"/>
    <col min="15390" max="15393" width="2.5546875" style="403" hidden="1" customWidth="1"/>
    <col min="15394" max="15399" width="2.44140625" style="403" hidden="1" customWidth="1"/>
    <col min="15400" max="15400" width="1.5546875" style="403" hidden="1" customWidth="1"/>
    <col min="15401" max="15616" width="2.5546875" style="403" hidden="1"/>
    <col min="15617" max="15617" width="1.5546875" style="403" hidden="1" customWidth="1"/>
    <col min="15618" max="15618" width="0.77734375" style="403" hidden="1" customWidth="1"/>
    <col min="15619" max="15634" width="2.5546875" style="403" hidden="1" customWidth="1"/>
    <col min="15635" max="15635" width="4" style="403" hidden="1" customWidth="1"/>
    <col min="15636" max="15639" width="2.5546875" style="403" hidden="1" customWidth="1"/>
    <col min="15640" max="15640" width="2.44140625" style="403" hidden="1" customWidth="1"/>
    <col min="15641" max="15644" width="2.5546875" style="403" hidden="1" customWidth="1"/>
    <col min="15645" max="15645" width="2.44140625" style="403" hidden="1" customWidth="1"/>
    <col min="15646" max="15649" width="2.5546875" style="403" hidden="1" customWidth="1"/>
    <col min="15650" max="15655" width="2.44140625" style="403" hidden="1" customWidth="1"/>
    <col min="15656" max="15656" width="1.5546875" style="403" hidden="1" customWidth="1"/>
    <col min="15657" max="15872" width="2.5546875" style="403" hidden="1"/>
    <col min="15873" max="15873" width="1.5546875" style="403" hidden="1" customWidth="1"/>
    <col min="15874" max="15874" width="0.77734375" style="403" hidden="1" customWidth="1"/>
    <col min="15875" max="15890" width="2.5546875" style="403" hidden="1" customWidth="1"/>
    <col min="15891" max="15891" width="4" style="403" hidden="1" customWidth="1"/>
    <col min="15892" max="15895" width="2.5546875" style="403" hidden="1" customWidth="1"/>
    <col min="15896" max="15896" width="2.44140625" style="403" hidden="1" customWidth="1"/>
    <col min="15897" max="15900" width="2.5546875" style="403" hidden="1" customWidth="1"/>
    <col min="15901" max="15901" width="2.44140625" style="403" hidden="1" customWidth="1"/>
    <col min="15902" max="15905" width="2.5546875" style="403" hidden="1" customWidth="1"/>
    <col min="15906" max="15911" width="2.44140625" style="403" hidden="1" customWidth="1"/>
    <col min="15912" max="15912" width="1.5546875" style="403" hidden="1" customWidth="1"/>
    <col min="15913" max="16128" width="2.5546875" style="403" hidden="1"/>
    <col min="16129" max="16129" width="1.5546875" style="403" hidden="1" customWidth="1"/>
    <col min="16130" max="16130" width="0.77734375" style="403" hidden="1" customWidth="1"/>
    <col min="16131" max="16146" width="2.5546875" style="403" hidden="1" customWidth="1"/>
    <col min="16147" max="16147" width="4" style="403" hidden="1" customWidth="1"/>
    <col min="16148" max="16151" width="2.5546875" style="403" hidden="1" customWidth="1"/>
    <col min="16152" max="16152" width="2.44140625" style="403" hidden="1" customWidth="1"/>
    <col min="16153" max="16156" width="2.5546875" style="403" hidden="1" customWidth="1"/>
    <col min="16157" max="16157" width="2.44140625" style="403" hidden="1" customWidth="1"/>
    <col min="16158" max="16161" width="2.5546875" style="403" hidden="1" customWidth="1"/>
    <col min="16162" max="16167" width="2.44140625" style="403" hidden="1" customWidth="1"/>
    <col min="16168" max="16168" width="1.5546875" style="403" hidden="1" customWidth="1"/>
    <col min="16169" max="16384" width="2.5546875" style="403" hidden="1"/>
  </cols>
  <sheetData>
    <row r="1" spans="1:40" ht="13.05" customHeight="1">
      <c r="A1" s="1897" t="s">
        <v>1280</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row>
    <row r="2" spans="1:40" ht="13.05" customHeight="1" thickBot="1">
      <c r="A2" s="1898"/>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1898"/>
    </row>
    <row r="3" spans="1:40" ht="13.0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05" customHeight="1">
      <c r="A4" s="405"/>
    </row>
    <row r="5" spans="1:40" ht="13.05" customHeight="1">
      <c r="A5" s="405" t="s">
        <v>318</v>
      </c>
      <c r="C5" s="405" t="s">
        <v>122</v>
      </c>
      <c r="F5" s="405"/>
    </row>
    <row r="6" spans="1:40" ht="13.05" customHeight="1">
      <c r="A6" s="405"/>
      <c r="C6" s="403" t="s">
        <v>1238</v>
      </c>
    </row>
    <row r="7" spans="1:40" ht="13.05" customHeight="1">
      <c r="B7" s="406"/>
      <c r="C7" s="407"/>
      <c r="D7" s="407"/>
      <c r="E7" s="407"/>
      <c r="F7" s="407"/>
      <c r="G7" s="407"/>
      <c r="H7" s="407"/>
      <c r="I7" s="407"/>
      <c r="J7" s="407"/>
      <c r="K7" s="407"/>
      <c r="L7" s="407"/>
      <c r="M7" s="407"/>
      <c r="N7" s="407"/>
      <c r="O7" s="407"/>
      <c r="P7" s="407"/>
      <c r="Q7" s="407"/>
      <c r="R7" s="407"/>
      <c r="S7" s="407"/>
      <c r="T7" s="1899" t="str">
        <f xml:space="preserve"> IF(T25=100%,'Sources and Basis Breakdown'!G2,'Sources and Basis Breakdown'!F2)</f>
        <v>30% PVC for New Const/
Rehabilitation
DDA/QCT
Building(s)</v>
      </c>
      <c r="U7" s="1899"/>
      <c r="V7" s="1899"/>
      <c r="W7" s="1899"/>
      <c r="X7" s="1899"/>
      <c r="Y7" s="1899" t="str">
        <f>IF(T25=100%,"",'Sources and Basis Breakdown'!G2)</f>
        <v>30% PVC for New Const/
Rehabilitation
NON-DDA/
NON-QCT Building(s)</v>
      </c>
      <c r="Z7" s="1899"/>
      <c r="AA7" s="1899"/>
      <c r="AB7" s="1899"/>
      <c r="AC7" s="1899"/>
      <c r="AD7" s="1899" t="str">
        <f xml:space="preserve"> IF(T25=100%, 'Sources and Basis Breakdown'!J2,'Sources and Basis Breakdown'!I2)</f>
        <v>30% PVC for Acquisition
DDA/QCT Building(s)</v>
      </c>
      <c r="AE7" s="1899"/>
      <c r="AF7" s="1899"/>
      <c r="AG7" s="1899"/>
      <c r="AH7" s="1899"/>
      <c r="AI7" s="1899" t="str">
        <f>IF(T25=100%,"",'Sources and Basis Breakdown'!J2)</f>
        <v>30% PVC for Acquisition
NON-DDA/
NON-QCT Building(s)</v>
      </c>
      <c r="AJ7" s="1899"/>
      <c r="AK7" s="1899"/>
      <c r="AL7" s="1899"/>
      <c r="AM7" s="1899"/>
    </row>
    <row r="8" spans="1:40" ht="13.05" customHeight="1">
      <c r="B8" s="408"/>
      <c r="T8" s="1899"/>
      <c r="U8" s="1899"/>
      <c r="V8" s="1899"/>
      <c r="W8" s="1899"/>
      <c r="X8" s="1899"/>
      <c r="Y8" s="1899"/>
      <c r="Z8" s="1899"/>
      <c r="AA8" s="1899"/>
      <c r="AB8" s="1899"/>
      <c r="AC8" s="1899"/>
      <c r="AD8" s="1899"/>
      <c r="AE8" s="1899"/>
      <c r="AF8" s="1899"/>
      <c r="AG8" s="1899"/>
      <c r="AH8" s="1899"/>
      <c r="AI8" s="1899"/>
      <c r="AJ8" s="1899"/>
      <c r="AK8" s="1899"/>
      <c r="AL8" s="1899"/>
      <c r="AM8" s="1899"/>
    </row>
    <row r="9" spans="1:40" ht="13.05" customHeight="1">
      <c r="B9" s="408"/>
      <c r="T9" s="1899"/>
      <c r="U9" s="1899"/>
      <c r="V9" s="1899"/>
      <c r="W9" s="1899"/>
      <c r="X9" s="1899"/>
      <c r="Y9" s="1899"/>
      <c r="Z9" s="1899"/>
      <c r="AA9" s="1899"/>
      <c r="AB9" s="1899"/>
      <c r="AC9" s="1899"/>
      <c r="AD9" s="1899"/>
      <c r="AE9" s="1899"/>
      <c r="AF9" s="1899"/>
      <c r="AG9" s="1899"/>
      <c r="AH9" s="1899"/>
      <c r="AI9" s="1899"/>
      <c r="AJ9" s="1899"/>
      <c r="AK9" s="1899"/>
      <c r="AL9" s="1899"/>
      <c r="AM9" s="1899"/>
    </row>
    <row r="10" spans="1:40" ht="13.05" customHeight="1">
      <c r="B10" s="409"/>
      <c r="C10" s="410"/>
      <c r="D10" s="410"/>
      <c r="E10" s="410"/>
      <c r="F10" s="410"/>
      <c r="G10" s="410"/>
      <c r="H10" s="410"/>
      <c r="I10" s="410"/>
      <c r="J10" s="410"/>
      <c r="K10" s="410"/>
      <c r="L10" s="410"/>
      <c r="M10" s="410"/>
      <c r="N10" s="410"/>
      <c r="O10" s="410"/>
      <c r="P10" s="410"/>
      <c r="Q10" s="410"/>
      <c r="R10" s="410"/>
      <c r="S10" s="410"/>
      <c r="T10" s="1899"/>
      <c r="U10" s="1899"/>
      <c r="V10" s="1899"/>
      <c r="W10" s="1899"/>
      <c r="X10" s="1899"/>
      <c r="Y10" s="1899"/>
      <c r="Z10" s="1899"/>
      <c r="AA10" s="1899"/>
      <c r="AB10" s="1899"/>
      <c r="AC10" s="1899"/>
      <c r="AD10" s="1899"/>
      <c r="AE10" s="1899"/>
      <c r="AF10" s="1899"/>
      <c r="AG10" s="1899"/>
      <c r="AH10" s="1899"/>
      <c r="AI10" s="1899"/>
      <c r="AJ10" s="1899"/>
      <c r="AK10" s="1899"/>
      <c r="AL10" s="1899"/>
      <c r="AM10" s="1899"/>
    </row>
    <row r="11" spans="1:40" ht="13.05" customHeight="1">
      <c r="B11" s="1878" t="s">
        <v>374</v>
      </c>
      <c r="C11" s="1879"/>
      <c r="D11" s="1879"/>
      <c r="E11" s="1879"/>
      <c r="F11" s="1879"/>
      <c r="G11" s="1879"/>
      <c r="H11" s="1879"/>
      <c r="I11" s="1879"/>
      <c r="J11" s="1879"/>
      <c r="K11" s="1879"/>
      <c r="L11" s="1879"/>
      <c r="M11" s="1879"/>
      <c r="N11" s="1879"/>
      <c r="O11" s="1879"/>
      <c r="P11" s="1879"/>
      <c r="Q11" s="1879"/>
      <c r="R11" s="1879"/>
      <c r="S11" s="1880"/>
      <c r="T11" s="1900">
        <f>IF('Sources and Basis Breakdown'!F107=0,'Sources and Basis Breakdown'!E107,'Sources and Basis Breakdown'!F107)</f>
        <v>20842065.5</v>
      </c>
      <c r="U11" s="1901"/>
      <c r="V11" s="1901"/>
      <c r="W11" s="1901"/>
      <c r="X11" s="1901"/>
      <c r="Y11" s="1900">
        <f>IF(Y7="",0,IF('Sources and Basis Breakdown'!G107+'Sources and Basis Breakdown'!F107='Sources and Basis Breakdown'!E107,'Sources and Basis Breakdown'!G107,0))</f>
        <v>0</v>
      </c>
      <c r="Z11" s="1901"/>
      <c r="AA11" s="1901"/>
      <c r="AB11" s="1901"/>
      <c r="AC11" s="1901"/>
      <c r="AD11" s="1901">
        <f>IF('Sources and Basis Breakdown'!I107=0,'Sources and Basis Breakdown'!H107,'Sources and Basis Breakdown'!I107)</f>
        <v>13516108</v>
      </c>
      <c r="AE11" s="1901"/>
      <c r="AF11" s="1901"/>
      <c r="AG11" s="1901"/>
      <c r="AH11" s="1901"/>
      <c r="AI11" s="1901">
        <f>IF(Y7="",0,IF('Sources and Basis Breakdown'!I107+'Sources and Basis Breakdown'!J107='Sources and Basis Breakdown'!H107,'Sources and Basis Breakdown'!J107,0))</f>
        <v>0</v>
      </c>
      <c r="AJ11" s="1901"/>
      <c r="AK11" s="1901"/>
      <c r="AL11" s="1901"/>
      <c r="AM11" s="1901"/>
    </row>
    <row r="12" spans="1:40" ht="13.05" customHeight="1">
      <c r="B12" s="1893" t="s">
        <v>497</v>
      </c>
      <c r="C12" s="1285"/>
      <c r="D12" s="1285"/>
      <c r="E12" s="1285"/>
      <c r="F12" s="1285"/>
      <c r="G12" s="1285"/>
      <c r="H12" s="1285"/>
      <c r="I12" s="1285"/>
      <c r="J12" s="1285"/>
      <c r="K12" s="1285"/>
      <c r="L12" s="1285"/>
      <c r="M12" s="1285"/>
      <c r="N12" s="1285"/>
      <c r="O12" s="1285"/>
      <c r="P12" s="1285"/>
      <c r="Q12" s="1285"/>
      <c r="R12" s="1285"/>
      <c r="S12" s="1894"/>
      <c r="T12" s="1866"/>
      <c r="U12" s="1867"/>
      <c r="V12" s="1867"/>
      <c r="W12" s="1867"/>
      <c r="X12" s="1868"/>
      <c r="Y12" s="1866"/>
      <c r="Z12" s="1867"/>
      <c r="AA12" s="1867"/>
      <c r="AB12" s="1867"/>
      <c r="AC12" s="1868"/>
      <c r="AD12" s="1866"/>
      <c r="AE12" s="1867"/>
      <c r="AF12" s="1867"/>
      <c r="AG12" s="1867"/>
      <c r="AH12" s="1868"/>
      <c r="AI12" s="1866"/>
      <c r="AJ12" s="1867"/>
      <c r="AK12" s="1867"/>
      <c r="AL12" s="1867"/>
      <c r="AM12" s="1868"/>
    </row>
    <row r="13" spans="1:40" ht="13.05" customHeight="1">
      <c r="B13" s="436"/>
      <c r="C13" s="1895" t="s">
        <v>498</v>
      </c>
      <c r="D13" s="1895"/>
      <c r="E13" s="1895"/>
      <c r="F13" s="1895"/>
      <c r="G13" s="1895"/>
      <c r="H13" s="1895"/>
      <c r="I13" s="1895"/>
      <c r="J13" s="1895"/>
      <c r="K13" s="1895"/>
      <c r="L13" s="1895"/>
      <c r="M13" s="1895"/>
      <c r="N13" s="1895"/>
      <c r="O13" s="1895"/>
      <c r="P13" s="1895"/>
      <c r="Q13" s="1895"/>
      <c r="R13" s="1895"/>
      <c r="S13" s="1896"/>
      <c r="T13" s="1902"/>
      <c r="U13" s="1903"/>
      <c r="V13" s="1903"/>
      <c r="W13" s="1903"/>
      <c r="X13" s="1903"/>
      <c r="Y13" s="1902"/>
      <c r="Z13" s="1903"/>
      <c r="AA13" s="1903"/>
      <c r="AB13" s="1903"/>
      <c r="AC13" s="1903"/>
      <c r="AD13" s="1903"/>
      <c r="AE13" s="1903"/>
      <c r="AF13" s="1903"/>
      <c r="AG13" s="1903"/>
      <c r="AH13" s="1903"/>
      <c r="AI13" s="1903"/>
      <c r="AJ13" s="1903"/>
      <c r="AK13" s="1903"/>
      <c r="AL13" s="1903"/>
      <c r="AM13" s="1903"/>
    </row>
    <row r="14" spans="1:40" ht="13.05" customHeight="1">
      <c r="B14" s="436"/>
      <c r="C14" s="1895" t="s">
        <v>499</v>
      </c>
      <c r="D14" s="1895"/>
      <c r="E14" s="1895"/>
      <c r="F14" s="1895"/>
      <c r="G14" s="1895"/>
      <c r="H14" s="1895"/>
      <c r="I14" s="1895"/>
      <c r="J14" s="1895"/>
      <c r="K14" s="1895"/>
      <c r="L14" s="1895"/>
      <c r="M14" s="1895"/>
      <c r="N14" s="1895"/>
      <c r="O14" s="1895"/>
      <c r="P14" s="1895"/>
      <c r="Q14" s="1895"/>
      <c r="R14" s="1895"/>
      <c r="S14" s="1896"/>
      <c r="T14" s="1869"/>
      <c r="U14" s="1870"/>
      <c r="V14" s="1870"/>
      <c r="W14" s="1870"/>
      <c r="X14" s="1870"/>
      <c r="Y14" s="1869"/>
      <c r="Z14" s="1870"/>
      <c r="AA14" s="1870"/>
      <c r="AB14" s="1870"/>
      <c r="AC14" s="1870"/>
      <c r="AD14" s="1870"/>
      <c r="AE14" s="1870"/>
      <c r="AF14" s="1870"/>
      <c r="AG14" s="1870"/>
      <c r="AH14" s="1870"/>
      <c r="AI14" s="1870"/>
      <c r="AJ14" s="1870"/>
      <c r="AK14" s="1870"/>
      <c r="AL14" s="1870"/>
      <c r="AM14" s="1870"/>
    </row>
    <row r="15" spans="1:40" ht="13.05" customHeight="1">
      <c r="B15" s="436"/>
      <c r="C15" s="1895" t="s">
        <v>500</v>
      </c>
      <c r="D15" s="1895"/>
      <c r="E15" s="1895"/>
      <c r="F15" s="1895"/>
      <c r="G15" s="1895"/>
      <c r="H15" s="1895"/>
      <c r="I15" s="1895"/>
      <c r="J15" s="1895"/>
      <c r="K15" s="1895"/>
      <c r="L15" s="1895"/>
      <c r="M15" s="1895"/>
      <c r="N15" s="1895"/>
      <c r="O15" s="1895"/>
      <c r="P15" s="1895"/>
      <c r="Q15" s="1895"/>
      <c r="R15" s="1895"/>
      <c r="S15" s="1896"/>
      <c r="T15" s="1869"/>
      <c r="U15" s="1870"/>
      <c r="V15" s="1870"/>
      <c r="W15" s="1870"/>
      <c r="X15" s="1870"/>
      <c r="Y15" s="1869"/>
      <c r="Z15" s="1870"/>
      <c r="AA15" s="1870"/>
      <c r="AB15" s="1870"/>
      <c r="AC15" s="1870"/>
      <c r="AD15" s="1870"/>
      <c r="AE15" s="1870"/>
      <c r="AF15" s="1870"/>
      <c r="AG15" s="1870"/>
      <c r="AH15" s="1870"/>
      <c r="AI15" s="1870"/>
      <c r="AJ15" s="1870"/>
      <c r="AK15" s="1870"/>
      <c r="AL15" s="1870"/>
      <c r="AM15" s="1870"/>
    </row>
    <row r="16" spans="1:40" ht="13.05" customHeight="1">
      <c r="B16" s="436"/>
      <c r="C16" s="1895" t="s">
        <v>805</v>
      </c>
      <c r="D16" s="1895"/>
      <c r="E16" s="1895"/>
      <c r="F16" s="1895"/>
      <c r="G16" s="1895"/>
      <c r="H16" s="1895"/>
      <c r="I16" s="1895"/>
      <c r="J16" s="1895"/>
      <c r="K16" s="1895"/>
      <c r="L16" s="1895"/>
      <c r="M16" s="1895"/>
      <c r="N16" s="1895"/>
      <c r="O16" s="1895"/>
      <c r="P16" s="1895"/>
      <c r="Q16" s="1895"/>
      <c r="R16" s="1895"/>
      <c r="S16" s="1896"/>
      <c r="T16" s="1869"/>
      <c r="U16" s="1870"/>
      <c r="V16" s="1870"/>
      <c r="W16" s="1870"/>
      <c r="X16" s="1870"/>
      <c r="Y16" s="1869"/>
      <c r="Z16" s="1870"/>
      <c r="AA16" s="1870"/>
      <c r="AB16" s="1870"/>
      <c r="AC16" s="1870"/>
      <c r="AD16" s="1870"/>
      <c r="AE16" s="1870"/>
      <c r="AF16" s="1870"/>
      <c r="AG16" s="1870"/>
      <c r="AH16" s="1870"/>
      <c r="AI16" s="1870"/>
      <c r="AJ16" s="1870"/>
      <c r="AK16" s="1870"/>
      <c r="AL16" s="1870"/>
      <c r="AM16" s="1870"/>
    </row>
    <row r="17" spans="1:40" ht="13.05" customHeight="1">
      <c r="B17" s="436"/>
      <c r="C17" s="1895" t="s">
        <v>501</v>
      </c>
      <c r="D17" s="1895"/>
      <c r="E17" s="1895"/>
      <c r="F17" s="1895"/>
      <c r="G17" s="1895"/>
      <c r="H17" s="1895"/>
      <c r="I17" s="1895"/>
      <c r="J17" s="1895"/>
      <c r="K17" s="1895"/>
      <c r="L17" s="1895"/>
      <c r="M17" s="1895"/>
      <c r="N17" s="1895"/>
      <c r="O17" s="1895"/>
      <c r="P17" s="1895"/>
      <c r="Q17" s="1895"/>
      <c r="R17" s="1895"/>
      <c r="S17" s="1896"/>
      <c r="T17" s="1869"/>
      <c r="U17" s="1870"/>
      <c r="V17" s="1870"/>
      <c r="W17" s="1870"/>
      <c r="X17" s="1870"/>
      <c r="Y17" s="1869"/>
      <c r="Z17" s="1870"/>
      <c r="AA17" s="1870"/>
      <c r="AB17" s="1870"/>
      <c r="AC17" s="1870"/>
      <c r="AD17" s="1870"/>
      <c r="AE17" s="1870"/>
      <c r="AF17" s="1870"/>
      <c r="AG17" s="1870"/>
      <c r="AH17" s="1870"/>
      <c r="AI17" s="1870"/>
      <c r="AJ17" s="1870"/>
      <c r="AK17" s="1870"/>
      <c r="AL17" s="1870"/>
      <c r="AM17" s="1870"/>
    </row>
    <row r="18" spans="1:40" ht="13.05" customHeight="1">
      <c r="A18"/>
      <c r="B18" s="1152"/>
      <c r="C18" s="1805" t="s">
        <v>960</v>
      </c>
      <c r="D18" s="1805"/>
      <c r="E18" s="1805"/>
      <c r="F18" s="1805"/>
      <c r="G18" s="1805"/>
      <c r="H18" s="1805"/>
      <c r="I18" s="1805"/>
      <c r="J18" s="1805"/>
      <c r="K18" s="1805"/>
      <c r="L18" s="1805"/>
      <c r="M18" s="1805"/>
      <c r="N18" s="1805"/>
      <c r="O18" s="1805"/>
      <c r="P18" s="1805"/>
      <c r="Q18" s="1805"/>
      <c r="R18" s="1805"/>
      <c r="S18" s="1806"/>
      <c r="T18" s="1869"/>
      <c r="U18" s="1870"/>
      <c r="V18" s="1870"/>
      <c r="W18" s="1870"/>
      <c r="X18" s="1870"/>
      <c r="Y18" s="1869"/>
      <c r="Z18" s="1870"/>
      <c r="AA18" s="1870"/>
      <c r="AB18" s="1870"/>
      <c r="AC18" s="1870"/>
      <c r="AD18" s="1870"/>
      <c r="AE18" s="1870"/>
      <c r="AF18" s="1870"/>
      <c r="AG18" s="1870"/>
      <c r="AH18" s="1870"/>
      <c r="AI18" s="1870"/>
      <c r="AJ18" s="1870"/>
      <c r="AK18" s="1870"/>
      <c r="AL18" s="1870"/>
      <c r="AM18" s="1870"/>
    </row>
    <row r="19" spans="1:40" ht="13.05" customHeight="1">
      <c r="B19" s="1152"/>
      <c r="C19" s="1805" t="s">
        <v>960</v>
      </c>
      <c r="D19" s="1805"/>
      <c r="E19" s="1805"/>
      <c r="F19" s="1805"/>
      <c r="G19" s="1805"/>
      <c r="H19" s="1805"/>
      <c r="I19" s="1805"/>
      <c r="J19" s="1805"/>
      <c r="K19" s="1805"/>
      <c r="L19" s="1805"/>
      <c r="M19" s="1805"/>
      <c r="N19" s="1805"/>
      <c r="O19" s="1805"/>
      <c r="P19" s="1805"/>
      <c r="Q19" s="1805"/>
      <c r="R19" s="1805"/>
      <c r="S19" s="1806"/>
      <c r="T19" s="1869"/>
      <c r="U19" s="1870"/>
      <c r="V19" s="1870"/>
      <c r="W19" s="1870"/>
      <c r="X19" s="1870"/>
      <c r="Y19" s="1869"/>
      <c r="Z19" s="1870"/>
      <c r="AA19" s="1870"/>
      <c r="AB19" s="1870"/>
      <c r="AC19" s="1870"/>
      <c r="AD19" s="1870"/>
      <c r="AE19" s="1870"/>
      <c r="AF19" s="1870"/>
      <c r="AG19" s="1870"/>
      <c r="AH19" s="1870"/>
      <c r="AI19" s="1870"/>
      <c r="AJ19" s="1870"/>
      <c r="AK19" s="1870"/>
      <c r="AL19" s="1870"/>
      <c r="AM19" s="1870"/>
    </row>
    <row r="20" spans="1:40" ht="13.05" customHeight="1">
      <c r="B20" s="1878" t="s">
        <v>502</v>
      </c>
      <c r="C20" s="1879"/>
      <c r="D20" s="1879"/>
      <c r="E20" s="1879"/>
      <c r="F20" s="1879"/>
      <c r="G20" s="1879"/>
      <c r="H20" s="1879"/>
      <c r="I20" s="1879"/>
      <c r="J20" s="1879"/>
      <c r="K20" s="1879"/>
      <c r="L20" s="1879"/>
      <c r="M20" s="1879"/>
      <c r="N20" s="1879"/>
      <c r="O20" s="1879"/>
      <c r="P20" s="1879"/>
      <c r="Q20" s="1879"/>
      <c r="R20" s="1879"/>
      <c r="S20" s="1880"/>
      <c r="T20" s="1871">
        <f>SUM(T13:X19)</f>
        <v>0</v>
      </c>
      <c r="U20" s="1872"/>
      <c r="V20" s="1872"/>
      <c r="W20" s="1872"/>
      <c r="X20" s="1872"/>
      <c r="Y20" s="1871">
        <f>SUM(Y13:AC19)</f>
        <v>0</v>
      </c>
      <c r="Z20" s="1872"/>
      <c r="AA20" s="1872"/>
      <c r="AB20" s="1872"/>
      <c r="AC20" s="1872"/>
      <c r="AD20" s="1873">
        <f>SUM(AD13:AH19)</f>
        <v>0</v>
      </c>
      <c r="AE20" s="1874"/>
      <c r="AF20" s="1874"/>
      <c r="AG20" s="1874"/>
      <c r="AH20" s="1871"/>
      <c r="AI20" s="1873">
        <f>SUM(AI13:AM19)</f>
        <v>0</v>
      </c>
      <c r="AJ20" s="1874"/>
      <c r="AK20" s="1874"/>
      <c r="AL20" s="1874"/>
      <c r="AM20" s="1871"/>
    </row>
    <row r="21" spans="1:40" ht="13.05" customHeight="1">
      <c r="B21" s="1878" t="s">
        <v>1263</v>
      </c>
      <c r="C21" s="1879"/>
      <c r="D21" s="1879"/>
      <c r="E21" s="1879"/>
      <c r="F21" s="1879"/>
      <c r="G21" s="1879"/>
      <c r="H21" s="1879"/>
      <c r="I21" s="1879"/>
      <c r="J21" s="1879"/>
      <c r="K21" s="1879"/>
      <c r="L21" s="1879"/>
      <c r="M21" s="1879"/>
      <c r="N21" s="1879"/>
      <c r="O21" s="1879"/>
      <c r="P21" s="1879"/>
      <c r="Q21" s="1879"/>
      <c r="R21" s="1879"/>
      <c r="S21" s="1880"/>
      <c r="T21" s="1869"/>
      <c r="U21" s="1870"/>
      <c r="V21" s="1870"/>
      <c r="W21" s="1870"/>
      <c r="X21" s="1870"/>
      <c r="Y21" s="1869"/>
      <c r="Z21" s="1870"/>
      <c r="AA21" s="1870"/>
      <c r="AB21" s="1870"/>
      <c r="AC21" s="1870"/>
      <c r="AD21" s="1866"/>
      <c r="AE21" s="1867"/>
      <c r="AF21" s="1867"/>
      <c r="AG21" s="1867"/>
      <c r="AH21" s="1868"/>
      <c r="AI21" s="1866"/>
      <c r="AJ21" s="1867"/>
      <c r="AK21" s="1867"/>
      <c r="AL21" s="1867"/>
      <c r="AM21" s="1868"/>
    </row>
    <row r="22" spans="1:40" ht="13.05" customHeight="1">
      <c r="B22" s="1878" t="s">
        <v>503</v>
      </c>
      <c r="C22" s="1879"/>
      <c r="D22" s="1879"/>
      <c r="E22" s="1879"/>
      <c r="F22" s="1879"/>
      <c r="G22" s="1879"/>
      <c r="H22" s="1879"/>
      <c r="I22" s="1879"/>
      <c r="J22" s="1879"/>
      <c r="K22" s="1879"/>
      <c r="L22" s="1879"/>
      <c r="M22" s="1879"/>
      <c r="N22" s="1879"/>
      <c r="O22" s="1879"/>
      <c r="P22" s="1879"/>
      <c r="Q22" s="1879"/>
      <c r="R22" s="1879"/>
      <c r="S22" s="1880"/>
      <c r="T22" s="1904">
        <f>(ABS(T20)+ABS(T21))*-1</f>
        <v>0</v>
      </c>
      <c r="U22" s="1905"/>
      <c r="V22" s="1905"/>
      <c r="W22" s="1905"/>
      <c r="X22" s="1905"/>
      <c r="Y22" s="1904">
        <f>(Y20+Y21)*-1</f>
        <v>0</v>
      </c>
      <c r="Z22" s="1905"/>
      <c r="AA22" s="1905"/>
      <c r="AB22" s="1905"/>
      <c r="AC22" s="1905"/>
      <c r="AD22" s="1906">
        <f>(AD20)*-1</f>
        <v>0</v>
      </c>
      <c r="AE22" s="1907"/>
      <c r="AF22" s="1907"/>
      <c r="AG22" s="1907"/>
      <c r="AH22" s="1904"/>
      <c r="AI22" s="1906">
        <f>(AI20)*-1</f>
        <v>0</v>
      </c>
      <c r="AJ22" s="1907"/>
      <c r="AK22" s="1907"/>
      <c r="AL22" s="1907"/>
      <c r="AM22" s="1904"/>
    </row>
    <row r="23" spans="1:40" ht="13.05" customHeight="1">
      <c r="B23" s="1878" t="s">
        <v>504</v>
      </c>
      <c r="C23" s="1879"/>
      <c r="D23" s="1879"/>
      <c r="E23" s="1879"/>
      <c r="F23" s="1879"/>
      <c r="G23" s="1879"/>
      <c r="H23" s="1879"/>
      <c r="I23" s="1879"/>
      <c r="J23" s="1879"/>
      <c r="K23" s="1879"/>
      <c r="L23" s="1879"/>
      <c r="M23" s="1879"/>
      <c r="N23" s="1879"/>
      <c r="O23" s="1879"/>
      <c r="P23" s="1879"/>
      <c r="Q23" s="1879"/>
      <c r="R23" s="1879"/>
      <c r="S23" s="1880"/>
      <c r="T23" s="1871">
        <f>T11+T22</f>
        <v>20842065.5</v>
      </c>
      <c r="U23" s="1872"/>
      <c r="V23" s="1872"/>
      <c r="W23" s="1872"/>
      <c r="X23" s="1872"/>
      <c r="Y23" s="1871">
        <f>Y11+Y22</f>
        <v>0</v>
      </c>
      <c r="Z23" s="1872"/>
      <c r="AA23" s="1872"/>
      <c r="AB23" s="1872"/>
      <c r="AC23" s="1872"/>
      <c r="AD23" s="1871">
        <f>AD11+AD22</f>
        <v>13516108</v>
      </c>
      <c r="AE23" s="1872"/>
      <c r="AF23" s="1872"/>
      <c r="AG23" s="1872"/>
      <c r="AH23" s="1872"/>
      <c r="AI23" s="1871">
        <f>AI11+AI22</f>
        <v>0</v>
      </c>
      <c r="AJ23" s="1872"/>
      <c r="AK23" s="1872"/>
      <c r="AL23" s="1872"/>
      <c r="AM23" s="1872"/>
    </row>
    <row r="24" spans="1:40" ht="13.05" customHeight="1">
      <c r="B24" s="1878" t="s">
        <v>961</v>
      </c>
      <c r="C24" s="1879"/>
      <c r="D24" s="1879"/>
      <c r="E24" s="1879"/>
      <c r="F24" s="1879"/>
      <c r="G24" s="1879"/>
      <c r="H24" s="1879"/>
      <c r="I24" s="1879"/>
      <c r="J24" s="1879"/>
      <c r="K24" s="1879"/>
      <c r="L24" s="1879"/>
      <c r="M24" s="1879"/>
      <c r="N24" s="1879"/>
      <c r="O24" s="1879"/>
      <c r="P24" s="1879"/>
      <c r="Q24" s="1879"/>
      <c r="R24" s="1879"/>
      <c r="S24" s="1880"/>
      <c r="T24" s="1873">
        <f>Application!AJ1053</f>
        <v>73882454.299999997</v>
      </c>
      <c r="U24" s="1874"/>
      <c r="V24" s="1874"/>
      <c r="W24" s="1874"/>
      <c r="X24" s="1874"/>
      <c r="Y24" s="1874"/>
      <c r="Z24" s="1874"/>
      <c r="AA24" s="1874"/>
      <c r="AB24" s="1874"/>
      <c r="AC24" s="1874"/>
      <c r="AD24" s="1874"/>
      <c r="AE24" s="1874"/>
      <c r="AF24" s="1874"/>
      <c r="AG24" s="1874"/>
      <c r="AH24" s="1874"/>
      <c r="AI24" s="1874"/>
      <c r="AJ24" s="1874"/>
      <c r="AK24" s="1874"/>
      <c r="AL24" s="1874"/>
      <c r="AM24" s="1871"/>
    </row>
    <row r="25" spans="1:40" ht="13.05" customHeight="1">
      <c r="B25" s="1882" t="s">
        <v>1264</v>
      </c>
      <c r="C25" s="1883"/>
      <c r="D25" s="1883"/>
      <c r="E25" s="1883"/>
      <c r="F25" s="1883"/>
      <c r="G25" s="1883"/>
      <c r="H25" s="1883"/>
      <c r="I25" s="1883"/>
      <c r="J25" s="1883"/>
      <c r="K25" s="1883"/>
      <c r="L25" s="1883"/>
      <c r="M25" s="1883"/>
      <c r="N25" s="1883"/>
      <c r="O25" s="1883"/>
      <c r="P25" s="1883"/>
      <c r="Q25" s="1883"/>
      <c r="R25" s="1883"/>
      <c r="S25" s="1884"/>
      <c r="T25" s="1908">
        <f>IF(OR(Application!T196="yes",Application!T195="yes"),1.3,1)</f>
        <v>1.3</v>
      </c>
      <c r="U25" s="1909"/>
      <c r="V25" s="1909"/>
      <c r="W25" s="1909"/>
      <c r="X25" s="1909"/>
      <c r="Y25" s="1908">
        <v>1</v>
      </c>
      <c r="Z25" s="1909"/>
      <c r="AA25" s="1909"/>
      <c r="AB25" s="1909"/>
      <c r="AC25" s="1909"/>
      <c r="AD25" s="1908">
        <v>1</v>
      </c>
      <c r="AE25" s="1909"/>
      <c r="AF25" s="1909"/>
      <c r="AG25" s="1909"/>
      <c r="AH25" s="1910"/>
      <c r="AI25" s="1908">
        <v>1</v>
      </c>
      <c r="AJ25" s="1909"/>
      <c r="AK25" s="1909"/>
      <c r="AL25" s="1909"/>
      <c r="AM25" s="1910"/>
    </row>
    <row r="26" spans="1:40" ht="13.05" customHeight="1">
      <c r="B26" s="1878" t="s">
        <v>505</v>
      </c>
      <c r="C26" s="1879"/>
      <c r="D26" s="1879"/>
      <c r="E26" s="1879"/>
      <c r="F26" s="1879"/>
      <c r="G26" s="1879"/>
      <c r="H26" s="1879"/>
      <c r="I26" s="1879"/>
      <c r="J26" s="1879"/>
      <c r="K26" s="1879"/>
      <c r="L26" s="1879"/>
      <c r="M26" s="1879"/>
      <c r="N26" s="1879"/>
      <c r="O26" s="1879"/>
      <c r="P26" s="1879"/>
      <c r="Q26" s="1879"/>
      <c r="R26" s="1879"/>
      <c r="S26" s="1880"/>
      <c r="T26" s="1871">
        <f>T23*T25</f>
        <v>27094685.150000002</v>
      </c>
      <c r="U26" s="1872"/>
      <c r="V26" s="1872"/>
      <c r="W26" s="1872"/>
      <c r="X26" s="1872"/>
      <c r="Y26" s="1871">
        <f>Y23*Y25</f>
        <v>0</v>
      </c>
      <c r="Z26" s="1872"/>
      <c r="AA26" s="1872"/>
      <c r="AB26" s="1872"/>
      <c r="AC26" s="1872"/>
      <c r="AD26" s="1871">
        <f>AD23*AD25</f>
        <v>13516108</v>
      </c>
      <c r="AE26" s="1872"/>
      <c r="AF26" s="1872"/>
      <c r="AG26" s="1872"/>
      <c r="AH26" s="1872"/>
      <c r="AI26" s="1871">
        <f>AI23*AI25</f>
        <v>0</v>
      </c>
      <c r="AJ26" s="1872"/>
      <c r="AK26" s="1872"/>
      <c r="AL26" s="1872"/>
      <c r="AM26" s="1872"/>
    </row>
    <row r="27" spans="1:40" ht="13.05" customHeight="1">
      <c r="A27" s="411"/>
      <c r="B27" s="1885" t="s">
        <v>425</v>
      </c>
      <c r="C27" s="1886"/>
      <c r="D27" s="1886"/>
      <c r="E27" s="1886"/>
      <c r="F27" s="1886"/>
      <c r="G27" s="1886"/>
      <c r="H27" s="1886"/>
      <c r="I27" s="1886"/>
      <c r="J27" s="1886"/>
      <c r="K27" s="1886"/>
      <c r="L27" s="1886"/>
      <c r="M27" s="1886"/>
      <c r="N27" s="1886"/>
      <c r="O27" s="1886"/>
      <c r="P27" s="1886"/>
      <c r="Q27" s="1886"/>
      <c r="R27" s="1886"/>
      <c r="S27" s="1887"/>
      <c r="T27" s="1891">
        <f>Application!$AG$445</f>
        <v>1</v>
      </c>
      <c r="U27" s="1892"/>
      <c r="V27" s="1892"/>
      <c r="W27" s="1892"/>
      <c r="X27" s="1892"/>
      <c r="Y27" s="1891">
        <f>Application!$AG$445</f>
        <v>1</v>
      </c>
      <c r="Z27" s="1892"/>
      <c r="AA27" s="1892"/>
      <c r="AB27" s="1892"/>
      <c r="AC27" s="1892"/>
      <c r="AD27" s="1891">
        <f>Application!$AG$445</f>
        <v>1</v>
      </c>
      <c r="AE27" s="1892"/>
      <c r="AF27" s="1892"/>
      <c r="AG27" s="1892"/>
      <c r="AH27" s="1892"/>
      <c r="AI27" s="1891">
        <f>Application!$AG$445</f>
        <v>1</v>
      </c>
      <c r="AJ27" s="1892"/>
      <c r="AK27" s="1892"/>
      <c r="AL27" s="1892"/>
      <c r="AM27" s="1892"/>
    </row>
    <row r="28" spans="1:40" ht="13.05" customHeight="1">
      <c r="A28" s="405"/>
      <c r="B28" s="1878" t="s">
        <v>506</v>
      </c>
      <c r="C28" s="1879"/>
      <c r="D28" s="1879"/>
      <c r="E28" s="1879"/>
      <c r="F28" s="1879"/>
      <c r="G28" s="1879"/>
      <c r="H28" s="1879"/>
      <c r="I28" s="1879"/>
      <c r="J28" s="1879"/>
      <c r="K28" s="1879"/>
      <c r="L28" s="1879"/>
      <c r="M28" s="1879"/>
      <c r="N28" s="1879"/>
      <c r="O28" s="1879"/>
      <c r="P28" s="1879"/>
      <c r="Q28" s="1879"/>
      <c r="R28" s="1879"/>
      <c r="S28" s="1880"/>
      <c r="T28" s="1871">
        <f>IF(ISERROR((T26*T27)),0,(T26*T27))</f>
        <v>27094685.150000002</v>
      </c>
      <c r="U28" s="1872"/>
      <c r="V28" s="1872"/>
      <c r="W28" s="1872"/>
      <c r="X28" s="1872"/>
      <c r="Y28" s="1871">
        <f>IF(ISERROR((Y26*Y27)),0,(Y26*Y27))</f>
        <v>0</v>
      </c>
      <c r="Z28" s="1872"/>
      <c r="AA28" s="1872"/>
      <c r="AB28" s="1872"/>
      <c r="AC28" s="1872"/>
      <c r="AD28" s="1871">
        <f>IF(ISERROR((AD26*AD27)),0,(AD26*AD27))</f>
        <v>13516108</v>
      </c>
      <c r="AE28" s="1872"/>
      <c r="AF28" s="1872"/>
      <c r="AG28" s="1872"/>
      <c r="AH28" s="1872"/>
      <c r="AI28" s="1871">
        <f>IF(ISERROR((AI26*AI27)),0,(AI26*AI27))</f>
        <v>0</v>
      </c>
      <c r="AJ28" s="1872"/>
      <c r="AK28" s="1872"/>
      <c r="AL28" s="1872"/>
      <c r="AM28" s="1872"/>
    </row>
    <row r="29" spans="1:40" ht="13.05" customHeight="1">
      <c r="B29" s="1878" t="s">
        <v>523</v>
      </c>
      <c r="C29" s="1879"/>
      <c r="D29" s="1879"/>
      <c r="E29" s="1879"/>
      <c r="F29" s="1879"/>
      <c r="G29" s="1879"/>
      <c r="H29" s="1879"/>
      <c r="I29" s="1879"/>
      <c r="J29" s="1879"/>
      <c r="K29" s="1879"/>
      <c r="L29" s="1879"/>
      <c r="M29" s="1879"/>
      <c r="N29" s="1879"/>
      <c r="O29" s="1879"/>
      <c r="P29" s="1879"/>
      <c r="Q29" s="1879"/>
      <c r="R29" s="1879"/>
      <c r="S29" s="1880"/>
      <c r="T29" s="1873">
        <f>T28+Y28+AD28+AI28</f>
        <v>40610793.150000006</v>
      </c>
      <c r="U29" s="1874"/>
      <c r="V29" s="1874"/>
      <c r="W29" s="1874"/>
      <c r="X29" s="1874"/>
      <c r="Y29" s="1874"/>
      <c r="Z29" s="1874"/>
      <c r="AA29" s="1874"/>
      <c r="AB29" s="1874"/>
      <c r="AC29" s="1874"/>
      <c r="AD29" s="1874"/>
      <c r="AE29" s="1874"/>
      <c r="AF29" s="1874"/>
      <c r="AG29" s="1874"/>
      <c r="AH29" s="1874"/>
      <c r="AI29" s="1874"/>
      <c r="AJ29" s="1874"/>
      <c r="AK29" s="1874"/>
      <c r="AL29" s="1874"/>
      <c r="AM29" s="1871"/>
    </row>
    <row r="30" spans="1:40" ht="13.05" customHeight="1">
      <c r="B30" s="1881" t="s">
        <v>1266</v>
      </c>
      <c r="C30" s="1881"/>
      <c r="D30" s="1881"/>
      <c r="E30" s="1881"/>
      <c r="F30" s="1881"/>
      <c r="G30" s="1881"/>
      <c r="H30" s="1881"/>
      <c r="I30" s="1881"/>
      <c r="J30" s="1881"/>
      <c r="K30" s="1881"/>
      <c r="L30" s="1881"/>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row>
    <row r="31" spans="1:40" ht="13.05" customHeight="1">
      <c r="B31" s="1881" t="s">
        <v>1265</v>
      </c>
      <c r="C31" s="1881"/>
      <c r="D31" s="1881"/>
      <c r="E31" s="1881"/>
      <c r="F31" s="1881"/>
      <c r="G31" s="1881"/>
      <c r="H31" s="1881"/>
      <c r="I31" s="1881"/>
      <c r="J31" s="1881"/>
      <c r="K31" s="1881"/>
      <c r="L31" s="1881"/>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1"/>
      <c r="AI31" s="1881"/>
      <c r="AJ31" s="1881"/>
      <c r="AK31" s="1881"/>
      <c r="AL31" s="1881"/>
      <c r="AM31" s="1881"/>
      <c r="AN31" s="519"/>
    </row>
    <row r="32" spans="1:40" ht="13.0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05" customHeight="1">
      <c r="A34" s="405" t="s">
        <v>576</v>
      </c>
      <c r="C34" s="405" t="s">
        <v>568</v>
      </c>
    </row>
    <row r="35" spans="1:76" ht="13.0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1899" t="s">
        <v>1154</v>
      </c>
      <c r="Z35" s="1899"/>
      <c r="AA35" s="1899"/>
      <c r="AB35" s="1899"/>
      <c r="AC35" s="1899"/>
      <c r="AD35" s="1919" t="s">
        <v>368</v>
      </c>
      <c r="AE35" s="1919"/>
      <c r="AF35" s="1919"/>
      <c r="AG35" s="1919"/>
      <c r="AH35" s="1919"/>
    </row>
    <row r="36" spans="1:76" ht="13.05" customHeight="1">
      <c r="B36" s="408"/>
      <c r="X36" s="413"/>
      <c r="Y36" s="1899"/>
      <c r="Z36" s="1899"/>
      <c r="AA36" s="1899"/>
      <c r="AB36" s="1899"/>
      <c r="AC36" s="1899"/>
      <c r="AD36" s="1919"/>
      <c r="AE36" s="1919"/>
      <c r="AF36" s="1919"/>
      <c r="AG36" s="1919"/>
      <c r="AH36" s="1919"/>
    </row>
    <row r="37" spans="1:76" ht="13.0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1899"/>
      <c r="Z37" s="1899"/>
      <c r="AA37" s="1899"/>
      <c r="AB37" s="1899"/>
      <c r="AC37" s="1899"/>
      <c r="AD37" s="1919"/>
      <c r="AE37" s="1919"/>
      <c r="AF37" s="1919"/>
      <c r="AG37" s="1919"/>
      <c r="AH37" s="1919"/>
    </row>
    <row r="38" spans="1:76" ht="13.05" customHeight="1">
      <c r="A38" s="405"/>
      <c r="B38" s="1878" t="s">
        <v>506</v>
      </c>
      <c r="C38" s="1879"/>
      <c r="D38" s="1879"/>
      <c r="E38" s="1879"/>
      <c r="F38" s="1879"/>
      <c r="G38" s="1879"/>
      <c r="H38" s="1879"/>
      <c r="I38" s="1879"/>
      <c r="J38" s="1879"/>
      <c r="K38" s="1879"/>
      <c r="L38" s="1879"/>
      <c r="M38" s="1879"/>
      <c r="N38" s="1879"/>
      <c r="O38" s="1879"/>
      <c r="P38" s="1879"/>
      <c r="Q38" s="1879"/>
      <c r="R38" s="1879"/>
      <c r="S38" s="1879"/>
      <c r="T38" s="1879"/>
      <c r="U38" s="1879"/>
      <c r="V38" s="1879"/>
      <c r="W38" s="1879"/>
      <c r="X38" s="1880"/>
      <c r="Y38" s="1872">
        <f>IF(T24&gt;=(T23+Y23+AD23+AI23),T28+Y28,0)</f>
        <v>27094685.150000002</v>
      </c>
      <c r="Z38" s="1872"/>
      <c r="AA38" s="1872"/>
      <c r="AB38" s="1872"/>
      <c r="AC38" s="1872"/>
      <c r="AD38" s="1872">
        <f>IF(T24&gt;=(T23+Y23+AD23+AI23),AD28+AI28,0)</f>
        <v>13516108</v>
      </c>
      <c r="AE38" s="1872"/>
      <c r="AF38" s="1872"/>
      <c r="AG38" s="1872"/>
      <c r="AH38" s="1872"/>
    </row>
    <row r="39" spans="1:76" ht="13.05" customHeight="1">
      <c r="B39" s="1878" t="s">
        <v>1691</v>
      </c>
      <c r="C39" s="1879"/>
      <c r="D39" s="1879"/>
      <c r="E39" s="1879"/>
      <c r="F39" s="1879"/>
      <c r="G39" s="1879"/>
      <c r="H39" s="1879"/>
      <c r="I39" s="1879"/>
      <c r="J39" s="1879"/>
      <c r="K39" s="1879"/>
      <c r="L39" s="1879"/>
      <c r="M39" s="1879"/>
      <c r="N39" s="1879"/>
      <c r="O39" s="1879"/>
      <c r="P39" s="1879"/>
      <c r="Q39" s="1879"/>
      <c r="R39" s="1879"/>
      <c r="S39" s="1879"/>
      <c r="T39" s="1879"/>
      <c r="U39" s="1879"/>
      <c r="V39" s="1879"/>
      <c r="W39" s="1879"/>
      <c r="X39" s="1880"/>
      <c r="Y39" s="1920">
        <v>0.04</v>
      </c>
      <c r="Z39" s="1920"/>
      <c r="AA39" s="1920"/>
      <c r="AB39" s="1920"/>
      <c r="AC39" s="1920"/>
      <c r="AD39" s="1920">
        <v>0.04</v>
      </c>
      <c r="AE39" s="1920"/>
      <c r="AF39" s="1920"/>
      <c r="AG39" s="1920"/>
      <c r="AH39" s="1920"/>
    </row>
    <row r="40" spans="1:76" ht="13.05" customHeight="1">
      <c r="A40" s="405"/>
      <c r="B40" s="1878" t="s">
        <v>642</v>
      </c>
      <c r="C40" s="1879"/>
      <c r="D40" s="1879"/>
      <c r="E40" s="1879"/>
      <c r="F40" s="1879"/>
      <c r="G40" s="1879"/>
      <c r="H40" s="1879"/>
      <c r="I40" s="1879"/>
      <c r="J40" s="1879"/>
      <c r="K40" s="1879"/>
      <c r="L40" s="1879"/>
      <c r="M40" s="1879"/>
      <c r="N40" s="1879"/>
      <c r="O40" s="1879"/>
      <c r="P40" s="1879"/>
      <c r="Q40" s="1879"/>
      <c r="R40" s="1879"/>
      <c r="S40" s="1879"/>
      <c r="T40" s="1879"/>
      <c r="U40" s="1879"/>
      <c r="V40" s="1879"/>
      <c r="W40" s="1879"/>
      <c r="X40" s="1880"/>
      <c r="Y40" s="1872">
        <f>ROUND(Y38*Y39,0)</f>
        <v>1083787</v>
      </c>
      <c r="Z40" s="1872"/>
      <c r="AA40" s="1872"/>
      <c r="AB40" s="1872"/>
      <c r="AC40" s="1872"/>
      <c r="AD40" s="1871">
        <f>ROUND(AD38*AD39,0)</f>
        <v>540644</v>
      </c>
      <c r="AE40" s="1872"/>
      <c r="AF40" s="1872"/>
      <c r="AG40" s="1872"/>
      <c r="AH40" s="1872"/>
    </row>
    <row r="41" spans="1:76" ht="13.05" customHeight="1">
      <c r="B41" s="1878" t="s">
        <v>643</v>
      </c>
      <c r="C41" s="1879"/>
      <c r="D41" s="1879"/>
      <c r="E41" s="1879"/>
      <c r="F41" s="1879"/>
      <c r="G41" s="1879"/>
      <c r="H41" s="1879"/>
      <c r="I41" s="1879"/>
      <c r="J41" s="1879"/>
      <c r="K41" s="1879"/>
      <c r="L41" s="1879"/>
      <c r="M41" s="1879"/>
      <c r="N41" s="1879"/>
      <c r="O41" s="1879"/>
      <c r="P41" s="1879"/>
      <c r="Q41" s="1879"/>
      <c r="R41" s="1879"/>
      <c r="S41" s="1879"/>
      <c r="T41" s="1879"/>
      <c r="U41" s="1879"/>
      <c r="V41" s="1879"/>
      <c r="W41" s="1879"/>
      <c r="X41" s="1880"/>
      <c r="Y41" s="1873">
        <f>Y40+AD40</f>
        <v>1624431</v>
      </c>
      <c r="Z41" s="1874"/>
      <c r="AA41" s="1874"/>
      <c r="AB41" s="1874"/>
      <c r="AC41" s="1874"/>
      <c r="AD41" s="1874"/>
      <c r="AE41" s="1874"/>
      <c r="AF41" s="1874"/>
      <c r="AG41" s="1874"/>
      <c r="AH41" s="1871"/>
    </row>
    <row r="42" spans="1:76" ht="13.0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0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05" customHeight="1" thickBot="1">
      <c r="A44" s="1876" t="s">
        <v>1276</v>
      </c>
      <c r="B44" s="1876"/>
      <c r="C44" s="1876"/>
      <c r="D44" s="1876"/>
      <c r="E44" s="1876"/>
      <c r="F44" s="1876"/>
      <c r="G44" s="1876"/>
      <c r="H44" s="1876"/>
      <c r="I44" s="1876"/>
      <c r="J44" s="1876"/>
      <c r="K44" s="1876"/>
      <c r="L44" s="1876"/>
      <c r="M44" s="1876"/>
      <c r="N44" s="1876"/>
      <c r="O44" s="1876"/>
      <c r="P44" s="1876"/>
      <c r="Q44" s="1876"/>
      <c r="R44" s="1876"/>
      <c r="S44" s="1876"/>
      <c r="T44" s="1876"/>
      <c r="U44" s="1876"/>
      <c r="V44" s="1876"/>
      <c r="W44" s="1876"/>
      <c r="X44" s="1876"/>
      <c r="Y44" s="1876"/>
      <c r="Z44" s="1876"/>
      <c r="AA44" s="1876"/>
      <c r="AB44" s="1876"/>
      <c r="AC44" s="1876"/>
      <c r="AD44" s="1876"/>
      <c r="AE44" s="1876"/>
      <c r="AF44" s="1876"/>
      <c r="AG44" s="1876"/>
      <c r="AH44" s="1876"/>
      <c r="AI44" s="1876"/>
      <c r="AJ44" s="1876"/>
      <c r="AK44" s="1876"/>
      <c r="AL44" s="1876"/>
      <c r="AM44" s="1876"/>
      <c r="AN44" s="1876"/>
      <c r="AO44" s="1876"/>
      <c r="AP44" s="1876"/>
      <c r="AQ44" s="1876"/>
      <c r="AR44" s="1876"/>
      <c r="AS44" s="1876"/>
      <c r="AT44" s="1876"/>
      <c r="AU44" s="1876"/>
      <c r="AV44" s="1876"/>
      <c r="AW44" s="1876"/>
      <c r="AX44" s="1876"/>
      <c r="AY44" s="1876"/>
      <c r="AZ44" s="1876"/>
      <c r="BA44" s="1876"/>
      <c r="BB44" s="1876"/>
      <c r="BC44" s="1876"/>
      <c r="BD44" s="1876"/>
      <c r="BE44" s="1876"/>
      <c r="BF44" s="1876"/>
      <c r="BG44" s="1876"/>
      <c r="BH44" s="1876"/>
      <c r="BI44" s="1876"/>
      <c r="BJ44" s="1876"/>
      <c r="BK44" s="1876"/>
      <c r="BL44" s="1876"/>
      <c r="BM44" s="1876"/>
      <c r="BN44" s="1876"/>
      <c r="BO44" s="1876"/>
      <c r="BP44" s="1876"/>
      <c r="BQ44" s="1876"/>
      <c r="BR44" s="1876"/>
      <c r="BS44" s="1876"/>
      <c r="BT44" s="1876"/>
      <c r="BU44" s="1876"/>
      <c r="BV44" s="1876"/>
      <c r="BW44" s="1876"/>
      <c r="BX44" s="1876"/>
    </row>
    <row r="45" spans="1:76" s="205" customFormat="1" ht="13.05" customHeight="1" thickTop="1"/>
    <row r="46" spans="1:76" ht="13.05" customHeight="1">
      <c r="A46" s="405" t="s">
        <v>586</v>
      </c>
      <c r="C46" s="405" t="s">
        <v>281</v>
      </c>
    </row>
    <row r="47" spans="1:76" ht="13.05" customHeight="1">
      <c r="D47" s="405" t="s">
        <v>282</v>
      </c>
      <c r="AB47" s="1888">
        <f>'Sources and Uses Budget'!B105-MAX(IF('Sources and Uses Budget'!B15="",0,'Sources and Uses Budget'!B15),IF(Application!AG394="",0,Application!AG394))</f>
        <v>43264841</v>
      </c>
      <c r="AC47" s="1889"/>
      <c r="AD47" s="1889"/>
      <c r="AE47" s="1889"/>
      <c r="AF47" s="1890"/>
    </row>
    <row r="48" spans="1:76" ht="13.05" customHeight="1">
      <c r="D48" s="405" t="s">
        <v>21</v>
      </c>
      <c r="AB48" s="1888">
        <f>Application!AO639-MAX(IF('Sources and Uses Budget'!B15="",0,'Sources and Uses Budget'!B15),IF(Application!AG394="",0,Application!AG394))</f>
        <v>28826417</v>
      </c>
      <c r="AC48" s="1889"/>
      <c r="AD48" s="1889"/>
      <c r="AE48" s="1889"/>
      <c r="AF48" s="1890"/>
    </row>
    <row r="49" spans="1:76" ht="13.05" customHeight="1">
      <c r="D49" s="405" t="s">
        <v>91</v>
      </c>
      <c r="AB49" s="1888">
        <f>AB47-AB48</f>
        <v>14438424</v>
      </c>
      <c r="AC49" s="1889"/>
      <c r="AD49" s="1889"/>
      <c r="AE49" s="1889"/>
      <c r="AF49" s="1890"/>
    </row>
    <row r="50" spans="1:76" ht="13.05" customHeight="1">
      <c r="D50" s="405" t="s">
        <v>681</v>
      </c>
      <c r="AA50" s="416"/>
      <c r="AB50" s="1915">
        <f>AB49/Y41/10</f>
        <v>0.8888296271125089</v>
      </c>
      <c r="AC50" s="1916"/>
      <c r="AD50" s="1916"/>
      <c r="AE50" s="1916"/>
      <c r="AF50" s="1917"/>
    </row>
    <row r="51" spans="1:76" s="418" customFormat="1" ht="13.05" customHeight="1">
      <c r="A51" s="403"/>
      <c r="B51" s="403"/>
      <c r="C51" s="403"/>
      <c r="D51" s="403"/>
      <c r="E51" s="1918" t="s">
        <v>1850</v>
      </c>
      <c r="F51" s="1918"/>
      <c r="G51" s="1918"/>
      <c r="H51" s="1918"/>
      <c r="I51" s="1918"/>
      <c r="J51" s="1918"/>
      <c r="K51" s="1918"/>
      <c r="L51" s="1918"/>
      <c r="M51" s="1918"/>
      <c r="N51" s="1918"/>
      <c r="O51" s="1918"/>
      <c r="P51" s="1918"/>
      <c r="Q51" s="1918"/>
      <c r="R51" s="1918"/>
      <c r="S51" s="1918"/>
      <c r="T51" s="1918"/>
      <c r="U51" s="1918"/>
      <c r="V51" s="1918"/>
      <c r="W51" s="1918"/>
      <c r="X51" s="1918"/>
      <c r="Y51" s="1918"/>
      <c r="Z51" s="1918"/>
      <c r="AA51" s="417"/>
      <c r="AB51" s="417"/>
      <c r="AC51" s="417"/>
      <c r="AD51" s="417"/>
      <c r="AE51" s="417"/>
      <c r="AF51" s="417"/>
      <c r="AG51" s="403"/>
      <c r="AH51" s="403"/>
      <c r="AI51" s="403"/>
      <c r="AJ51" s="403"/>
      <c r="AK51" s="403"/>
      <c r="AL51" s="403"/>
      <c r="AM51" s="403"/>
      <c r="AN51" s="403"/>
    </row>
    <row r="52" spans="1:76" s="418" customFormat="1" ht="13.05" customHeight="1">
      <c r="A52" s="403"/>
      <c r="B52" s="403"/>
      <c r="C52" s="403"/>
      <c r="D52" s="403"/>
      <c r="E52" s="1918"/>
      <c r="F52" s="1918"/>
      <c r="G52" s="1918"/>
      <c r="H52" s="1918"/>
      <c r="I52" s="1918"/>
      <c r="J52" s="1918"/>
      <c r="K52" s="1918"/>
      <c r="L52" s="1918"/>
      <c r="M52" s="1918"/>
      <c r="N52" s="1918"/>
      <c r="O52" s="1918"/>
      <c r="P52" s="1918"/>
      <c r="Q52" s="1918"/>
      <c r="R52" s="1918"/>
      <c r="S52" s="1918"/>
      <c r="T52" s="1918"/>
      <c r="U52" s="1918"/>
      <c r="V52" s="1918"/>
      <c r="W52" s="1918"/>
      <c r="X52" s="1918"/>
      <c r="Y52" s="1918"/>
      <c r="Z52" s="1918"/>
      <c r="AA52" s="419"/>
      <c r="AB52" s="419"/>
      <c r="AC52" s="419"/>
      <c r="AD52" s="419"/>
      <c r="AE52" s="419"/>
      <c r="AF52" s="419"/>
      <c r="AG52" s="420"/>
      <c r="AH52" s="403"/>
      <c r="AI52" s="403"/>
      <c r="AJ52" s="403"/>
      <c r="AK52" s="403"/>
      <c r="AL52" s="403"/>
      <c r="AM52" s="403"/>
      <c r="AN52" s="403"/>
    </row>
    <row r="53" spans="1:76" ht="13.0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05" customHeight="1">
      <c r="D54" s="405" t="s">
        <v>331</v>
      </c>
      <c r="AB54" s="1888">
        <f>ROUND(IF(ISERROR((AB49/AB50)),0,(AB49/AB50)),0)</f>
        <v>16244310</v>
      </c>
      <c r="AC54" s="1889"/>
      <c r="AD54" s="1889"/>
      <c r="AE54" s="1889"/>
      <c r="AF54" s="1890"/>
    </row>
    <row r="55" spans="1:76" ht="13.05" customHeight="1">
      <c r="D55" s="405" t="s">
        <v>332</v>
      </c>
      <c r="AB55" s="1888">
        <f>(AB54/10)</f>
        <v>1624431</v>
      </c>
      <c r="AC55" s="1889"/>
      <c r="AD55" s="1889"/>
      <c r="AE55" s="1889"/>
      <c r="AF55" s="1890"/>
    </row>
    <row r="56" spans="1:76" ht="13.05" customHeight="1">
      <c r="D56" s="405" t="s">
        <v>756</v>
      </c>
      <c r="AB56" s="1888">
        <f>ROUND((IF((Y41&lt;AB55),Y41,AB55)),0)</f>
        <v>1624431</v>
      </c>
      <c r="AC56" s="1889"/>
      <c r="AD56" s="1889"/>
      <c r="AE56" s="1889"/>
      <c r="AF56" s="1890"/>
    </row>
    <row r="57" spans="1:76" ht="13.05" customHeight="1">
      <c r="D57" s="405" t="s">
        <v>755</v>
      </c>
      <c r="AB57" s="1888">
        <f>ROUND((10*AB56*AB50),0)</f>
        <v>14438424</v>
      </c>
      <c r="AC57" s="1889"/>
      <c r="AD57" s="1889"/>
      <c r="AE57" s="1889"/>
      <c r="AF57" s="1890"/>
    </row>
    <row r="58" spans="1:76" ht="13.05" customHeight="1">
      <c r="D58" s="405"/>
      <c r="AB58" s="424"/>
      <c r="AC58" s="424"/>
      <c r="AD58" s="424"/>
      <c r="AE58" s="424"/>
      <c r="AF58" s="424"/>
    </row>
    <row r="59" spans="1:76" ht="13.05" customHeight="1">
      <c r="D59" s="405" t="s">
        <v>754</v>
      </c>
      <c r="AB59" s="1911">
        <f>AB49-AB57</f>
        <v>0</v>
      </c>
      <c r="AC59" s="1911"/>
      <c r="AD59" s="1911"/>
      <c r="AE59" s="1911"/>
      <c r="AF59" s="1911"/>
    </row>
    <row r="60" spans="1:76" ht="13.05" customHeight="1">
      <c r="D60" s="405"/>
      <c r="AB60" s="424"/>
      <c r="AC60" s="424"/>
      <c r="AD60" s="424"/>
      <c r="AE60" s="424"/>
      <c r="AF60" s="424"/>
    </row>
    <row r="61" spans="1:76" s="205" customFormat="1" ht="13.05" customHeight="1" thickBot="1">
      <c r="A61" s="1876" t="str">
        <f>IF(Application!AP205="yes","Farmworker State Credit", "State Credit" )</f>
        <v>State Credit</v>
      </c>
      <c r="B61" s="1876"/>
      <c r="C61" s="1876"/>
      <c r="D61" s="1876"/>
      <c r="E61" s="1876"/>
      <c r="F61" s="1876"/>
      <c r="G61" s="1876"/>
      <c r="H61" s="1876"/>
      <c r="I61" s="1876"/>
      <c r="J61" s="1876"/>
      <c r="K61" s="1876"/>
      <c r="L61" s="1876"/>
      <c r="M61" s="1876"/>
      <c r="N61" s="1876"/>
      <c r="O61" s="1876"/>
      <c r="P61" s="1876"/>
      <c r="Q61" s="1876"/>
      <c r="R61" s="1876"/>
      <c r="S61" s="1876"/>
      <c r="T61" s="1876"/>
      <c r="U61" s="1876"/>
      <c r="V61" s="1876"/>
      <c r="W61" s="1876"/>
      <c r="X61" s="1876"/>
      <c r="Y61" s="1876"/>
      <c r="Z61" s="1876"/>
      <c r="AA61" s="1876"/>
      <c r="AB61" s="1876"/>
      <c r="AC61" s="1876"/>
      <c r="AD61" s="1876"/>
      <c r="AE61" s="1876"/>
      <c r="AF61" s="1876"/>
      <c r="AG61" s="1876"/>
      <c r="AH61" s="1876"/>
      <c r="AI61" s="1876"/>
      <c r="AJ61" s="1876"/>
      <c r="AK61" s="1876"/>
      <c r="AL61" s="1876"/>
      <c r="AM61" s="1876"/>
      <c r="AN61" s="1876"/>
      <c r="AO61" s="1876"/>
      <c r="AP61" s="1876"/>
      <c r="AQ61" s="1876"/>
      <c r="AR61" s="1876"/>
      <c r="AS61" s="1876"/>
      <c r="AT61" s="1876"/>
      <c r="AU61" s="1876"/>
      <c r="AV61" s="1876"/>
      <c r="AW61" s="1876"/>
      <c r="AX61" s="1876"/>
      <c r="AY61" s="1876"/>
      <c r="AZ61" s="1876"/>
      <c r="BA61" s="1876"/>
      <c r="BB61" s="1876"/>
      <c r="BC61" s="1876"/>
      <c r="BD61" s="1876"/>
      <c r="BE61" s="1876"/>
      <c r="BF61" s="1876"/>
      <c r="BG61" s="1876"/>
      <c r="BH61" s="1876"/>
      <c r="BI61" s="1876"/>
      <c r="BJ61" s="1876"/>
      <c r="BK61" s="1876"/>
      <c r="BL61" s="1876"/>
      <c r="BM61" s="1876"/>
      <c r="BN61" s="1876"/>
      <c r="BO61" s="1876"/>
      <c r="BP61" s="1876"/>
      <c r="BQ61" s="1876"/>
      <c r="BR61" s="1876"/>
      <c r="BS61" s="1876"/>
      <c r="BT61" s="1876"/>
      <c r="BU61" s="1876"/>
      <c r="BV61" s="1876"/>
      <c r="BW61" s="1876"/>
      <c r="BX61" s="1876"/>
    </row>
    <row r="62" spans="1:76" s="205" customFormat="1" ht="13.05" customHeight="1" thickTop="1"/>
    <row r="63" spans="1:76" ht="13.05" customHeight="1">
      <c r="A63" s="405" t="s">
        <v>589</v>
      </c>
      <c r="C63" s="206" t="s">
        <v>1248</v>
      </c>
      <c r="Y63" s="1912" t="s">
        <v>984</v>
      </c>
      <c r="Z63" s="1912"/>
      <c r="AA63" s="1912"/>
      <c r="AB63" s="1912"/>
      <c r="AC63" s="1912"/>
      <c r="AD63" s="1912" t="s">
        <v>368</v>
      </c>
      <c r="AE63" s="1912"/>
      <c r="AF63" s="1912"/>
      <c r="AG63" s="1912"/>
      <c r="AH63" s="1912"/>
    </row>
    <row r="64" spans="1:76" ht="13.0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1873">
        <f>IF(Application!$Z$205="(select)",0,((T23*T27)+Y28))</f>
        <v>0</v>
      </c>
      <c r="Z64" s="1913"/>
      <c r="AA64" s="1913"/>
      <c r="AB64" s="1913"/>
      <c r="AC64" s="1914"/>
      <c r="AD64" s="1873">
        <f>IF(AND(OR(Application!D211="At-Risk",Application!D211="At-Risk and Special Needs"),Application!M358="yes"),AD28+AI28,0)</f>
        <v>0</v>
      </c>
      <c r="AE64" s="1913"/>
      <c r="AF64" s="1913"/>
      <c r="AG64" s="1913"/>
      <c r="AH64" s="1914"/>
    </row>
    <row r="65" spans="1:36" ht="13.0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0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1926" cm="1">
        <f t="array" ref="Y67">_xlfn.IFS(OR(Application!Z205="State Farmworker Credit",Application!Z205="$500M (Farmworker Housing)"),0.75,Application!Z205="15% set-aside",0.13,Application!Z205="15% set-aside with qualifying low value rehab",0.95,Application!Z205="$500M",0.3,TRUE,0)</f>
        <v>0</v>
      </c>
      <c r="Z67" s="1926"/>
      <c r="AA67" s="1926"/>
      <c r="AB67" s="1926"/>
      <c r="AC67" s="1926"/>
      <c r="AD67" s="1926" cm="1">
        <f t="array" ref="AD67">_xlfn.IFS(Application!Z205="15% set-aside with qualifying low value rehab", 0.95,OR(Application!D211="At-Risk",'Points System'!B13="Yes"),0.13,TRUE,0)</f>
        <v>0</v>
      </c>
      <c r="AE67" s="1926"/>
      <c r="AF67" s="1926"/>
      <c r="AG67" s="1926"/>
      <c r="AH67" s="1926"/>
    </row>
    <row r="68" spans="1:36" ht="13.05" customHeight="1">
      <c r="C68" s="405"/>
      <c r="D68" s="206" t="s">
        <v>2228</v>
      </c>
      <c r="Y68" s="1872">
        <f>ROUND(Y64*Y67,0)</f>
        <v>0</v>
      </c>
      <c r="Z68" s="1927"/>
      <c r="AA68" s="1927"/>
      <c r="AB68" s="1927"/>
      <c r="AC68" s="1927"/>
      <c r="AD68" s="1872">
        <f>ROUND(AD64*AD67,0)</f>
        <v>0</v>
      </c>
      <c r="AE68" s="1927"/>
      <c r="AF68" s="1927"/>
      <c r="AG68" s="1927"/>
      <c r="AH68" s="1927"/>
    </row>
    <row r="69" spans="1:36" ht="13.05" customHeight="1">
      <c r="C69" s="405"/>
      <c r="D69" s="206" t="s">
        <v>2229</v>
      </c>
      <c r="Y69" s="1872">
        <f>IF(OR(Application!Z205="State Farmworker Credit",Application!Z205="$500M (Farmworker Housing)"),Y68+AD68,MIN(Y68+AD68,200000*(Application!G753+Application!O777)))</f>
        <v>0</v>
      </c>
      <c r="Z69" s="1872"/>
      <c r="AA69" s="1872"/>
      <c r="AB69" s="1872"/>
      <c r="AC69" s="1872"/>
      <c r="AD69" s="1872"/>
      <c r="AE69" s="1872"/>
      <c r="AF69" s="1872"/>
      <c r="AG69" s="1872"/>
      <c r="AH69" s="1872"/>
    </row>
    <row r="70" spans="1:36" ht="13.05" customHeight="1">
      <c r="C70" s="405"/>
      <c r="E70" s="405"/>
      <c r="AB70" s="423"/>
      <c r="AC70" s="423"/>
      <c r="AD70" s="423"/>
      <c r="AE70" s="423"/>
      <c r="AF70" s="423"/>
    </row>
    <row r="71" spans="1:36" ht="13.05" customHeight="1">
      <c r="A71" s="405" t="s">
        <v>590</v>
      </c>
      <c r="C71" s="206" t="s">
        <v>283</v>
      </c>
    </row>
    <row r="72" spans="1:36" ht="13.05" customHeight="1">
      <c r="A72" s="405"/>
      <c r="C72" s="405"/>
      <c r="D72" s="206" t="s">
        <v>1250</v>
      </c>
      <c r="AB72" s="1915"/>
      <c r="AC72" s="1916"/>
      <c r="AD72" s="1916"/>
      <c r="AE72" s="1916"/>
      <c r="AF72" s="1917"/>
    </row>
    <row r="73" spans="1:36" ht="13.05" customHeight="1">
      <c r="A73" s="405"/>
      <c r="C73" s="405"/>
      <c r="D73" s="405"/>
      <c r="E73" s="1928" t="s">
        <v>1251</v>
      </c>
      <c r="F73" s="1928"/>
      <c r="G73" s="1928"/>
      <c r="H73" s="1928"/>
      <c r="I73" s="1928"/>
      <c r="J73" s="1928"/>
      <c r="K73" s="1928"/>
      <c r="L73" s="1928"/>
      <c r="M73" s="1928"/>
      <c r="N73" s="1928"/>
      <c r="O73" s="1928"/>
      <c r="P73" s="1928"/>
      <c r="Q73" s="1928"/>
      <c r="R73" s="1928"/>
      <c r="S73" s="1928"/>
      <c r="T73" s="1928"/>
      <c r="U73" s="1928"/>
      <c r="V73" s="1928"/>
      <c r="W73" s="1928"/>
      <c r="X73" s="1928"/>
      <c r="Y73" s="1928"/>
      <c r="Z73" s="1928"/>
      <c r="AA73" s="1928"/>
      <c r="AB73" s="439"/>
      <c r="AC73" s="439"/>
    </row>
    <row r="74" spans="1:36" ht="13.05" customHeight="1">
      <c r="A74" s="405"/>
      <c r="C74" s="405"/>
      <c r="D74" s="405"/>
      <c r="E74" s="1928"/>
      <c r="F74" s="1928"/>
      <c r="G74" s="1928"/>
      <c r="H74" s="1928"/>
      <c r="I74" s="1928"/>
      <c r="J74" s="1928"/>
      <c r="K74" s="1928"/>
      <c r="L74" s="1928"/>
      <c r="M74" s="1928"/>
      <c r="N74" s="1928"/>
      <c r="O74" s="1928"/>
      <c r="P74" s="1928"/>
      <c r="Q74" s="1928"/>
      <c r="R74" s="1928"/>
      <c r="S74" s="1928"/>
      <c r="T74" s="1928"/>
      <c r="U74" s="1928"/>
      <c r="V74" s="1928"/>
      <c r="W74" s="1928"/>
      <c r="X74" s="1928"/>
      <c r="Y74" s="1928"/>
      <c r="Z74" s="1928"/>
      <c r="AA74" s="1928"/>
      <c r="AB74" s="439"/>
      <c r="AC74" s="439"/>
    </row>
    <row r="75" spans="1:36" ht="13.05" customHeight="1">
      <c r="A75" s="405"/>
      <c r="C75" s="405"/>
      <c r="D75" s="405"/>
      <c r="E75" s="1928"/>
      <c r="F75" s="1928"/>
      <c r="G75" s="1928"/>
      <c r="H75" s="1928"/>
      <c r="I75" s="1928"/>
      <c r="J75" s="1928"/>
      <c r="K75" s="1928"/>
      <c r="L75" s="1928"/>
      <c r="M75" s="1928"/>
      <c r="N75" s="1928"/>
      <c r="O75" s="1928"/>
      <c r="P75" s="1928"/>
      <c r="Q75" s="1928"/>
      <c r="R75" s="1928"/>
      <c r="S75" s="1928"/>
      <c r="T75" s="1928"/>
      <c r="U75" s="1928"/>
      <c r="V75" s="1928"/>
      <c r="W75" s="1928"/>
      <c r="X75" s="1928"/>
      <c r="Y75" s="1928"/>
      <c r="Z75" s="1928"/>
      <c r="AA75" s="1928"/>
      <c r="AB75" s="439"/>
      <c r="AC75" s="439"/>
    </row>
    <row r="76" spans="1:36" ht="13.0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05" customHeight="1">
      <c r="C77" s="405"/>
      <c r="D77" s="206" t="s">
        <v>1252</v>
      </c>
      <c r="AB77" s="1921">
        <f>ROUND(IF(ISERROR((AB59/AB72)),0,(AB59/AB72)),0)</f>
        <v>0</v>
      </c>
      <c r="AC77" s="1921"/>
      <c r="AD77" s="1921"/>
      <c r="AE77" s="1921"/>
      <c r="AF77" s="1921"/>
    </row>
    <row r="78" spans="1:36" ht="13.05" customHeight="1">
      <c r="C78" s="405"/>
      <c r="D78" s="206" t="s">
        <v>1253</v>
      </c>
      <c r="AB78" s="1922">
        <f>ROUNDUP(MIN(Y69,AB77),0)</f>
        <v>0</v>
      </c>
      <c r="AC78" s="1923"/>
      <c r="AD78" s="1923"/>
      <c r="AE78" s="1923"/>
      <c r="AF78" s="1924"/>
    </row>
    <row r="79" spans="1:36" ht="13.05" customHeight="1">
      <c r="C79" s="405"/>
      <c r="D79" s="206" t="s">
        <v>1254</v>
      </c>
      <c r="AB79" s="1925">
        <f>AB78*AB72</f>
        <v>0</v>
      </c>
      <c r="AC79" s="1925"/>
      <c r="AD79" s="1925"/>
      <c r="AE79" s="1925"/>
      <c r="AF79" s="1925"/>
    </row>
    <row r="80" spans="1:36" ht="13.05" customHeight="1">
      <c r="C80" s="405"/>
      <c r="D80" s="405"/>
      <c r="AB80" s="426"/>
      <c r="AC80" s="426"/>
      <c r="AD80" s="426"/>
      <c r="AE80" s="426"/>
      <c r="AF80" s="426"/>
    </row>
    <row r="81" spans="1:78" ht="13.05" customHeight="1">
      <c r="D81" s="405" t="s">
        <v>754</v>
      </c>
      <c r="AB81" s="1911">
        <f>AB49-(AB57+AB79)</f>
        <v>0</v>
      </c>
      <c r="AC81" s="1911"/>
      <c r="AD81" s="1911"/>
      <c r="AE81" s="1911"/>
      <c r="AF81" s="1911"/>
    </row>
    <row r="82" spans="1:78" ht="13.05" customHeight="1">
      <c r="F82" s="523"/>
      <c r="J82" s="523" t="str">
        <f>IF(AB81&gt;0,"FUNDING GAP MUST NOT EXCEED ZERO","")</f>
        <v/>
      </c>
    </row>
    <row r="83" spans="1:78" ht="13.05" customHeight="1">
      <c r="D83" s="524"/>
    </row>
    <row r="84" spans="1:78" ht="13.05" customHeight="1" thickBot="1">
      <c r="A84" s="1876"/>
      <c r="B84" s="1876"/>
      <c r="C84" s="1876"/>
      <c r="D84" s="1876"/>
      <c r="E84" s="1876"/>
      <c r="F84" s="1876"/>
      <c r="G84" s="1876"/>
      <c r="H84" s="1876"/>
      <c r="I84" s="1876"/>
      <c r="J84" s="1876"/>
      <c r="K84" s="1876"/>
      <c r="L84" s="1876"/>
      <c r="M84" s="1876"/>
      <c r="N84" s="1876"/>
      <c r="O84" s="1876"/>
      <c r="P84" s="1876"/>
      <c r="Q84" s="1876"/>
      <c r="R84" s="1876"/>
      <c r="S84" s="1876"/>
      <c r="T84" s="1876"/>
      <c r="U84" s="1876"/>
      <c r="V84" s="1876"/>
      <c r="W84" s="1876"/>
      <c r="X84" s="1876"/>
      <c r="Y84" s="1876"/>
      <c r="Z84" s="1876"/>
      <c r="AA84" s="1876"/>
      <c r="AB84" s="1876"/>
      <c r="AC84" s="1876"/>
      <c r="AD84" s="1876"/>
      <c r="AE84" s="1876"/>
      <c r="AF84" s="1876"/>
      <c r="AG84" s="1876"/>
      <c r="AH84" s="1876"/>
      <c r="AI84" s="1876"/>
      <c r="AJ84" s="1876"/>
      <c r="AK84" s="1876"/>
      <c r="AL84" s="1876"/>
      <c r="AM84" s="1876"/>
      <c r="AN84" s="1876"/>
      <c r="AO84" s="1876"/>
      <c r="AP84" s="1876"/>
      <c r="AQ84" s="1876"/>
      <c r="AR84" s="1876"/>
      <c r="AS84" s="1876"/>
      <c r="AT84" s="1876"/>
      <c r="AU84" s="1876"/>
      <c r="AV84" s="1876"/>
      <c r="AW84" s="1876"/>
      <c r="AX84" s="1876"/>
      <c r="AY84" s="1876"/>
      <c r="AZ84" s="1876"/>
      <c r="BA84" s="1876"/>
      <c r="BB84" s="1876"/>
      <c r="BC84" s="1876"/>
      <c r="BD84" s="1876"/>
      <c r="BE84" s="1876"/>
      <c r="BF84" s="1876"/>
      <c r="BG84" s="1876"/>
      <c r="BH84" s="1876"/>
      <c r="BI84" s="1876"/>
      <c r="BJ84" s="1876"/>
      <c r="BK84" s="1876"/>
      <c r="BL84" s="1876"/>
      <c r="BM84" s="1876"/>
      <c r="BN84" s="1876"/>
      <c r="BO84" s="1876"/>
      <c r="BP84" s="1876"/>
      <c r="BQ84" s="1876"/>
      <c r="BR84" s="1876"/>
      <c r="BS84" s="1876"/>
      <c r="BT84" s="1876"/>
      <c r="BU84" s="1876"/>
      <c r="BV84" s="1876"/>
      <c r="BW84" s="1876"/>
      <c r="BX84" s="1876"/>
    </row>
    <row r="85" spans="1:78" ht="13.05" customHeight="1" thickTop="1"/>
    <row r="86" spans="1:78" ht="13.05" customHeight="1">
      <c r="A86" s="405"/>
      <c r="C86" s="206"/>
    </row>
    <row r="87" spans="1:78" ht="13.05" customHeight="1">
      <c r="D87" s="206"/>
      <c r="AB87" s="1877"/>
      <c r="AC87" s="1877"/>
      <c r="AD87" s="1877"/>
      <c r="AE87" s="1877"/>
      <c r="AF87" s="1877"/>
    </row>
    <row r="88" spans="1:78" ht="13.05" customHeight="1" thickBot="1">
      <c r="D88" s="206"/>
      <c r="AB88" s="1875"/>
      <c r="AC88" s="1875"/>
      <c r="AD88" s="1875"/>
      <c r="AE88" s="1875"/>
      <c r="AF88" s="1875"/>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0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0" priority="3">
      <formula>AND($T$18&gt;0,OR($C$18="",$C$18="Subtract (specify other ineligible amounts):"))</formula>
    </cfRule>
  </conditionalFormatting>
  <conditionalFormatting sqref="C18:S19">
    <cfRule type="expression" dxfId="19" priority="1">
      <formula>AND(T18&gt;0,OR(C18="",C18="Subtract (specify other ineligible amounts):"))</formula>
    </cfRule>
  </conditionalFormatting>
  <conditionalFormatting sqref="AB59:AF60 AB81:AF81">
    <cfRule type="cellIs" dxfId="1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H92" sqref="H92"/>
    </sheetView>
  </sheetViews>
  <sheetFormatPr defaultColWidth="0" defaultRowHeight="12" zeroHeight="1"/>
  <cols>
    <col min="1" max="1" width="32.77734375" style="398" customWidth="1"/>
    <col min="2" max="3" width="12.21875" style="394" customWidth="1"/>
    <col min="4" max="6" width="12.77734375" style="394" customWidth="1"/>
    <col min="7" max="9" width="12.21875" style="394" customWidth="1"/>
    <col min="10" max="10" width="12.21875" style="395" customWidth="1"/>
    <col min="11" max="11" width="8.77734375" style="396" hidden="1" customWidth="1"/>
    <col min="12" max="21" width="8.77734375" style="394" hidden="1" customWidth="1"/>
    <col min="22" max="23" width="0" style="394" hidden="1"/>
    <col min="24" max="256" width="8.77734375" style="394" hidden="1"/>
    <col min="257" max="257" width="32.77734375" style="394" hidden="1" customWidth="1"/>
    <col min="258" max="259" width="12.21875" style="394" hidden="1" customWidth="1"/>
    <col min="260" max="260" width="12.77734375" style="394" hidden="1" customWidth="1"/>
    <col min="261" max="266" width="12.21875" style="394" hidden="1" customWidth="1"/>
    <col min="267" max="277" width="8.77734375" style="394" hidden="1" customWidth="1"/>
    <col min="278" max="512" width="8.77734375" style="394" hidden="1"/>
    <col min="513" max="513" width="32.77734375" style="394" hidden="1" customWidth="1"/>
    <col min="514" max="515" width="12.21875" style="394" hidden="1" customWidth="1"/>
    <col min="516" max="516" width="12.77734375" style="394" hidden="1" customWidth="1"/>
    <col min="517" max="522" width="12.21875" style="394" hidden="1" customWidth="1"/>
    <col min="523" max="533" width="8.77734375" style="394" hidden="1" customWidth="1"/>
    <col min="534" max="768" width="8.77734375" style="394" hidden="1"/>
    <col min="769" max="769" width="32.77734375" style="394" hidden="1" customWidth="1"/>
    <col min="770" max="771" width="12.21875" style="394" hidden="1" customWidth="1"/>
    <col min="772" max="772" width="12.77734375" style="394" hidden="1" customWidth="1"/>
    <col min="773" max="778" width="12.21875" style="394" hidden="1" customWidth="1"/>
    <col min="779" max="789" width="8.77734375" style="394" hidden="1" customWidth="1"/>
    <col min="790" max="1024" width="8.77734375" style="394" hidden="1"/>
    <col min="1025" max="1025" width="32.77734375" style="394" hidden="1" customWidth="1"/>
    <col min="1026" max="1027" width="12.21875" style="394" hidden="1" customWidth="1"/>
    <col min="1028" max="1028" width="12.77734375" style="394" hidden="1" customWidth="1"/>
    <col min="1029" max="1034" width="12.21875" style="394" hidden="1" customWidth="1"/>
    <col min="1035" max="1045" width="8.77734375" style="394" hidden="1" customWidth="1"/>
    <col min="1046" max="1280" width="8.77734375" style="394" hidden="1"/>
    <col min="1281" max="1281" width="32.77734375" style="394" hidden="1" customWidth="1"/>
    <col min="1282" max="1283" width="12.21875" style="394" hidden="1" customWidth="1"/>
    <col min="1284" max="1284" width="12.77734375" style="394" hidden="1" customWidth="1"/>
    <col min="1285" max="1290" width="12.21875" style="394" hidden="1" customWidth="1"/>
    <col min="1291" max="1301" width="8.77734375" style="394" hidden="1" customWidth="1"/>
    <col min="1302" max="1536" width="8.77734375" style="394" hidden="1"/>
    <col min="1537" max="1537" width="32.77734375" style="394" hidden="1" customWidth="1"/>
    <col min="1538" max="1539" width="12.21875" style="394" hidden="1" customWidth="1"/>
    <col min="1540" max="1540" width="12.77734375" style="394" hidden="1" customWidth="1"/>
    <col min="1541" max="1546" width="12.21875" style="394" hidden="1" customWidth="1"/>
    <col min="1547" max="1557" width="8.77734375" style="394" hidden="1" customWidth="1"/>
    <col min="1558" max="1792" width="8.77734375" style="394" hidden="1"/>
    <col min="1793" max="1793" width="32.77734375" style="394" hidden="1" customWidth="1"/>
    <col min="1794" max="1795" width="12.21875" style="394" hidden="1" customWidth="1"/>
    <col min="1796" max="1796" width="12.77734375" style="394" hidden="1" customWidth="1"/>
    <col min="1797" max="1802" width="12.21875" style="394" hidden="1" customWidth="1"/>
    <col min="1803" max="1813" width="8.77734375" style="394" hidden="1" customWidth="1"/>
    <col min="1814" max="2048" width="8.77734375" style="394" hidden="1"/>
    <col min="2049" max="2049" width="32.77734375" style="394" hidden="1" customWidth="1"/>
    <col min="2050" max="2051" width="12.21875" style="394" hidden="1" customWidth="1"/>
    <col min="2052" max="2052" width="12.77734375" style="394" hidden="1" customWidth="1"/>
    <col min="2053" max="2058" width="12.21875" style="394" hidden="1" customWidth="1"/>
    <col min="2059" max="2069" width="8.77734375" style="394" hidden="1" customWidth="1"/>
    <col min="2070" max="2304" width="8.77734375" style="394" hidden="1"/>
    <col min="2305" max="2305" width="32.77734375" style="394" hidden="1" customWidth="1"/>
    <col min="2306" max="2307" width="12.21875" style="394" hidden="1" customWidth="1"/>
    <col min="2308" max="2308" width="12.77734375" style="394" hidden="1" customWidth="1"/>
    <col min="2309" max="2314" width="12.21875" style="394" hidden="1" customWidth="1"/>
    <col min="2315" max="2325" width="8.77734375" style="394" hidden="1" customWidth="1"/>
    <col min="2326" max="2560" width="8.77734375" style="394" hidden="1"/>
    <col min="2561" max="2561" width="32.77734375" style="394" hidden="1" customWidth="1"/>
    <col min="2562" max="2563" width="12.21875" style="394" hidden="1" customWidth="1"/>
    <col min="2564" max="2564" width="12.77734375" style="394" hidden="1" customWidth="1"/>
    <col min="2565" max="2570" width="12.21875" style="394" hidden="1" customWidth="1"/>
    <col min="2571" max="2581" width="8.77734375" style="394" hidden="1" customWidth="1"/>
    <col min="2582" max="2816" width="8.77734375" style="394" hidden="1"/>
    <col min="2817" max="2817" width="32.77734375" style="394" hidden="1" customWidth="1"/>
    <col min="2818" max="2819" width="12.21875" style="394" hidden="1" customWidth="1"/>
    <col min="2820" max="2820" width="12.77734375" style="394" hidden="1" customWidth="1"/>
    <col min="2821" max="2826" width="12.21875" style="394" hidden="1" customWidth="1"/>
    <col min="2827" max="2837" width="8.77734375" style="394" hidden="1" customWidth="1"/>
    <col min="2838" max="3072" width="8.77734375" style="394" hidden="1"/>
    <col min="3073" max="3073" width="32.77734375" style="394" hidden="1" customWidth="1"/>
    <col min="3074" max="3075" width="12.21875" style="394" hidden="1" customWidth="1"/>
    <col min="3076" max="3076" width="12.77734375" style="394" hidden="1" customWidth="1"/>
    <col min="3077" max="3082" width="12.21875" style="394" hidden="1" customWidth="1"/>
    <col min="3083" max="3093" width="8.77734375" style="394" hidden="1" customWidth="1"/>
    <col min="3094" max="3328" width="8.77734375" style="394" hidden="1"/>
    <col min="3329" max="3329" width="32.77734375" style="394" hidden="1" customWidth="1"/>
    <col min="3330" max="3331" width="12.21875" style="394" hidden="1" customWidth="1"/>
    <col min="3332" max="3332" width="12.77734375" style="394" hidden="1" customWidth="1"/>
    <col min="3333" max="3338" width="12.21875" style="394" hidden="1" customWidth="1"/>
    <col min="3339" max="3349" width="8.77734375" style="394" hidden="1" customWidth="1"/>
    <col min="3350" max="3584" width="8.77734375" style="394" hidden="1"/>
    <col min="3585" max="3585" width="32.77734375" style="394" hidden="1" customWidth="1"/>
    <col min="3586" max="3587" width="12.21875" style="394" hidden="1" customWidth="1"/>
    <col min="3588" max="3588" width="12.77734375" style="394" hidden="1" customWidth="1"/>
    <col min="3589" max="3594" width="12.21875" style="394" hidden="1" customWidth="1"/>
    <col min="3595" max="3605" width="8.77734375" style="394" hidden="1" customWidth="1"/>
    <col min="3606" max="3840" width="8.77734375" style="394" hidden="1"/>
    <col min="3841" max="3841" width="32.77734375" style="394" hidden="1" customWidth="1"/>
    <col min="3842" max="3843" width="12.21875" style="394" hidden="1" customWidth="1"/>
    <col min="3844" max="3844" width="12.77734375" style="394" hidden="1" customWidth="1"/>
    <col min="3845" max="3850" width="12.21875" style="394" hidden="1" customWidth="1"/>
    <col min="3851" max="3861" width="8.77734375" style="394" hidden="1" customWidth="1"/>
    <col min="3862" max="4096" width="8.77734375" style="394" hidden="1"/>
    <col min="4097" max="4097" width="32.77734375" style="394" hidden="1" customWidth="1"/>
    <col min="4098" max="4099" width="12.21875" style="394" hidden="1" customWidth="1"/>
    <col min="4100" max="4100" width="12.77734375" style="394" hidden="1" customWidth="1"/>
    <col min="4101" max="4106" width="12.21875" style="394" hidden="1" customWidth="1"/>
    <col min="4107" max="4117" width="8.77734375" style="394" hidden="1" customWidth="1"/>
    <col min="4118" max="4352" width="8.77734375" style="394" hidden="1"/>
    <col min="4353" max="4353" width="32.77734375" style="394" hidden="1" customWidth="1"/>
    <col min="4354" max="4355" width="12.21875" style="394" hidden="1" customWidth="1"/>
    <col min="4356" max="4356" width="12.77734375" style="394" hidden="1" customWidth="1"/>
    <col min="4357" max="4362" width="12.21875" style="394" hidden="1" customWidth="1"/>
    <col min="4363" max="4373" width="8.77734375" style="394" hidden="1" customWidth="1"/>
    <col min="4374" max="4608" width="8.77734375" style="394" hidden="1"/>
    <col min="4609" max="4609" width="32.77734375" style="394" hidden="1" customWidth="1"/>
    <col min="4610" max="4611" width="12.21875" style="394" hidden="1" customWidth="1"/>
    <col min="4612" max="4612" width="12.77734375" style="394" hidden="1" customWidth="1"/>
    <col min="4613" max="4618" width="12.21875" style="394" hidden="1" customWidth="1"/>
    <col min="4619" max="4629" width="8.77734375" style="394" hidden="1" customWidth="1"/>
    <col min="4630" max="4864" width="8.77734375" style="394" hidden="1"/>
    <col min="4865" max="4865" width="32.77734375" style="394" hidden="1" customWidth="1"/>
    <col min="4866" max="4867" width="12.21875" style="394" hidden="1" customWidth="1"/>
    <col min="4868" max="4868" width="12.77734375" style="394" hidden="1" customWidth="1"/>
    <col min="4869" max="4874" width="12.21875" style="394" hidden="1" customWidth="1"/>
    <col min="4875" max="4885" width="8.77734375" style="394" hidden="1" customWidth="1"/>
    <col min="4886" max="5120" width="8.77734375" style="394" hidden="1"/>
    <col min="5121" max="5121" width="32.77734375" style="394" hidden="1" customWidth="1"/>
    <col min="5122" max="5123" width="12.21875" style="394" hidden="1" customWidth="1"/>
    <col min="5124" max="5124" width="12.77734375" style="394" hidden="1" customWidth="1"/>
    <col min="5125" max="5130" width="12.21875" style="394" hidden="1" customWidth="1"/>
    <col min="5131" max="5141" width="8.77734375" style="394" hidden="1" customWidth="1"/>
    <col min="5142" max="5376" width="8.77734375" style="394" hidden="1"/>
    <col min="5377" max="5377" width="32.77734375" style="394" hidden="1" customWidth="1"/>
    <col min="5378" max="5379" width="12.21875" style="394" hidden="1" customWidth="1"/>
    <col min="5380" max="5380" width="12.77734375" style="394" hidden="1" customWidth="1"/>
    <col min="5381" max="5386" width="12.21875" style="394" hidden="1" customWidth="1"/>
    <col min="5387" max="5397" width="8.77734375" style="394" hidden="1" customWidth="1"/>
    <col min="5398" max="5632" width="8.77734375" style="394" hidden="1"/>
    <col min="5633" max="5633" width="32.77734375" style="394" hidden="1" customWidth="1"/>
    <col min="5634" max="5635" width="12.21875" style="394" hidden="1" customWidth="1"/>
    <col min="5636" max="5636" width="12.77734375" style="394" hidden="1" customWidth="1"/>
    <col min="5637" max="5642" width="12.21875" style="394" hidden="1" customWidth="1"/>
    <col min="5643" max="5653" width="8.77734375" style="394" hidden="1" customWidth="1"/>
    <col min="5654" max="5888" width="8.77734375" style="394" hidden="1"/>
    <col min="5889" max="5889" width="32.77734375" style="394" hidden="1" customWidth="1"/>
    <col min="5890" max="5891" width="12.21875" style="394" hidden="1" customWidth="1"/>
    <col min="5892" max="5892" width="12.77734375" style="394" hidden="1" customWidth="1"/>
    <col min="5893" max="5898" width="12.21875" style="394" hidden="1" customWidth="1"/>
    <col min="5899" max="5909" width="8.77734375" style="394" hidden="1" customWidth="1"/>
    <col min="5910" max="6144" width="8.77734375" style="394" hidden="1"/>
    <col min="6145" max="6145" width="32.77734375" style="394" hidden="1" customWidth="1"/>
    <col min="6146" max="6147" width="12.21875" style="394" hidden="1" customWidth="1"/>
    <col min="6148" max="6148" width="12.77734375" style="394" hidden="1" customWidth="1"/>
    <col min="6149" max="6154" width="12.21875" style="394" hidden="1" customWidth="1"/>
    <col min="6155" max="6165" width="8.77734375" style="394" hidden="1" customWidth="1"/>
    <col min="6166" max="6400" width="8.77734375" style="394" hidden="1"/>
    <col min="6401" max="6401" width="32.77734375" style="394" hidden="1" customWidth="1"/>
    <col min="6402" max="6403" width="12.21875" style="394" hidden="1" customWidth="1"/>
    <col min="6404" max="6404" width="12.77734375" style="394" hidden="1" customWidth="1"/>
    <col min="6405" max="6410" width="12.21875" style="394" hidden="1" customWidth="1"/>
    <col min="6411" max="6421" width="8.77734375" style="394" hidden="1" customWidth="1"/>
    <col min="6422" max="6656" width="8.77734375" style="394" hidden="1"/>
    <col min="6657" max="6657" width="32.77734375" style="394" hidden="1" customWidth="1"/>
    <col min="6658" max="6659" width="12.21875" style="394" hidden="1" customWidth="1"/>
    <col min="6660" max="6660" width="12.77734375" style="394" hidden="1" customWidth="1"/>
    <col min="6661" max="6666" width="12.21875" style="394" hidden="1" customWidth="1"/>
    <col min="6667" max="6677" width="8.77734375" style="394" hidden="1" customWidth="1"/>
    <col min="6678" max="6912" width="8.77734375" style="394" hidden="1"/>
    <col min="6913" max="6913" width="32.77734375" style="394" hidden="1" customWidth="1"/>
    <col min="6914" max="6915" width="12.21875" style="394" hidden="1" customWidth="1"/>
    <col min="6916" max="6916" width="12.77734375" style="394" hidden="1" customWidth="1"/>
    <col min="6917" max="6922" width="12.21875" style="394" hidden="1" customWidth="1"/>
    <col min="6923" max="6933" width="8.77734375" style="394" hidden="1" customWidth="1"/>
    <col min="6934" max="7168" width="8.77734375" style="394" hidden="1"/>
    <col min="7169" max="7169" width="32.77734375" style="394" hidden="1" customWidth="1"/>
    <col min="7170" max="7171" width="12.21875" style="394" hidden="1" customWidth="1"/>
    <col min="7172" max="7172" width="12.77734375" style="394" hidden="1" customWidth="1"/>
    <col min="7173" max="7178" width="12.21875" style="394" hidden="1" customWidth="1"/>
    <col min="7179" max="7189" width="8.77734375" style="394" hidden="1" customWidth="1"/>
    <col min="7190" max="7424" width="8.77734375" style="394" hidden="1"/>
    <col min="7425" max="7425" width="32.77734375" style="394" hidden="1" customWidth="1"/>
    <col min="7426" max="7427" width="12.21875" style="394" hidden="1" customWidth="1"/>
    <col min="7428" max="7428" width="12.77734375" style="394" hidden="1" customWidth="1"/>
    <col min="7429" max="7434" width="12.21875" style="394" hidden="1" customWidth="1"/>
    <col min="7435" max="7445" width="8.77734375" style="394" hidden="1" customWidth="1"/>
    <col min="7446" max="7680" width="8.77734375" style="394" hidden="1"/>
    <col min="7681" max="7681" width="32.77734375" style="394" hidden="1" customWidth="1"/>
    <col min="7682" max="7683" width="12.21875" style="394" hidden="1" customWidth="1"/>
    <col min="7684" max="7684" width="12.77734375" style="394" hidden="1" customWidth="1"/>
    <col min="7685" max="7690" width="12.21875" style="394" hidden="1" customWidth="1"/>
    <col min="7691" max="7701" width="8.77734375" style="394" hidden="1" customWidth="1"/>
    <col min="7702" max="7936" width="8.77734375" style="394" hidden="1"/>
    <col min="7937" max="7937" width="32.77734375" style="394" hidden="1" customWidth="1"/>
    <col min="7938" max="7939" width="12.21875" style="394" hidden="1" customWidth="1"/>
    <col min="7940" max="7940" width="12.77734375" style="394" hidden="1" customWidth="1"/>
    <col min="7941" max="7946" width="12.21875" style="394" hidden="1" customWidth="1"/>
    <col min="7947" max="7957" width="8.77734375" style="394" hidden="1" customWidth="1"/>
    <col min="7958" max="8192" width="8.77734375" style="394" hidden="1"/>
    <col min="8193" max="8193" width="32.77734375" style="394" hidden="1" customWidth="1"/>
    <col min="8194" max="8195" width="12.21875" style="394" hidden="1" customWidth="1"/>
    <col min="8196" max="8196" width="12.77734375" style="394" hidden="1" customWidth="1"/>
    <col min="8197" max="8202" width="12.21875" style="394" hidden="1" customWidth="1"/>
    <col min="8203" max="8213" width="8.77734375" style="394" hidden="1" customWidth="1"/>
    <col min="8214" max="8448" width="8.77734375" style="394" hidden="1"/>
    <col min="8449" max="8449" width="32.77734375" style="394" hidden="1" customWidth="1"/>
    <col min="8450" max="8451" width="12.21875" style="394" hidden="1" customWidth="1"/>
    <col min="8452" max="8452" width="12.77734375" style="394" hidden="1" customWidth="1"/>
    <col min="8453" max="8458" width="12.21875" style="394" hidden="1" customWidth="1"/>
    <col min="8459" max="8469" width="8.77734375" style="394" hidden="1" customWidth="1"/>
    <col min="8470" max="8704" width="8.77734375" style="394" hidden="1"/>
    <col min="8705" max="8705" width="32.77734375" style="394" hidden="1" customWidth="1"/>
    <col min="8706" max="8707" width="12.21875" style="394" hidden="1" customWidth="1"/>
    <col min="8708" max="8708" width="12.77734375" style="394" hidden="1" customWidth="1"/>
    <col min="8709" max="8714" width="12.21875" style="394" hidden="1" customWidth="1"/>
    <col min="8715" max="8725" width="8.77734375" style="394" hidden="1" customWidth="1"/>
    <col min="8726" max="8960" width="8.77734375" style="394" hidden="1"/>
    <col min="8961" max="8961" width="32.77734375" style="394" hidden="1" customWidth="1"/>
    <col min="8962" max="8963" width="12.21875" style="394" hidden="1" customWidth="1"/>
    <col min="8964" max="8964" width="12.77734375" style="394" hidden="1" customWidth="1"/>
    <col min="8965" max="8970" width="12.21875" style="394" hidden="1" customWidth="1"/>
    <col min="8971" max="8981" width="8.77734375" style="394" hidden="1" customWidth="1"/>
    <col min="8982" max="9216" width="8.77734375" style="394" hidden="1"/>
    <col min="9217" max="9217" width="32.77734375" style="394" hidden="1" customWidth="1"/>
    <col min="9218" max="9219" width="12.21875" style="394" hidden="1" customWidth="1"/>
    <col min="9220" max="9220" width="12.77734375" style="394" hidden="1" customWidth="1"/>
    <col min="9221" max="9226" width="12.21875" style="394" hidden="1" customWidth="1"/>
    <col min="9227" max="9237" width="8.77734375" style="394" hidden="1" customWidth="1"/>
    <col min="9238" max="9472" width="8.77734375" style="394" hidden="1"/>
    <col min="9473" max="9473" width="32.77734375" style="394" hidden="1" customWidth="1"/>
    <col min="9474" max="9475" width="12.21875" style="394" hidden="1" customWidth="1"/>
    <col min="9476" max="9476" width="12.77734375" style="394" hidden="1" customWidth="1"/>
    <col min="9477" max="9482" width="12.21875" style="394" hidden="1" customWidth="1"/>
    <col min="9483" max="9493" width="8.77734375" style="394" hidden="1" customWidth="1"/>
    <col min="9494" max="9728" width="8.77734375" style="394" hidden="1"/>
    <col min="9729" max="9729" width="32.77734375" style="394" hidden="1" customWidth="1"/>
    <col min="9730" max="9731" width="12.21875" style="394" hidden="1" customWidth="1"/>
    <col min="9732" max="9732" width="12.77734375" style="394" hidden="1" customWidth="1"/>
    <col min="9733" max="9738" width="12.21875" style="394" hidden="1" customWidth="1"/>
    <col min="9739" max="9749" width="8.77734375" style="394" hidden="1" customWidth="1"/>
    <col min="9750" max="9984" width="8.77734375" style="394" hidden="1"/>
    <col min="9985" max="9985" width="32.77734375" style="394" hidden="1" customWidth="1"/>
    <col min="9986" max="9987" width="12.21875" style="394" hidden="1" customWidth="1"/>
    <col min="9988" max="9988" width="12.77734375" style="394" hidden="1" customWidth="1"/>
    <col min="9989" max="9994" width="12.21875" style="394" hidden="1" customWidth="1"/>
    <col min="9995" max="10005" width="8.77734375" style="394" hidden="1" customWidth="1"/>
    <col min="10006" max="10240" width="8.77734375" style="394" hidden="1"/>
    <col min="10241" max="10241" width="32.77734375" style="394" hidden="1" customWidth="1"/>
    <col min="10242" max="10243" width="12.21875" style="394" hidden="1" customWidth="1"/>
    <col min="10244" max="10244" width="12.77734375" style="394" hidden="1" customWidth="1"/>
    <col min="10245" max="10250" width="12.21875" style="394" hidden="1" customWidth="1"/>
    <col min="10251" max="10261" width="8.77734375" style="394" hidden="1" customWidth="1"/>
    <col min="10262" max="10496" width="8.77734375" style="394" hidden="1"/>
    <col min="10497" max="10497" width="32.77734375" style="394" hidden="1" customWidth="1"/>
    <col min="10498" max="10499" width="12.21875" style="394" hidden="1" customWidth="1"/>
    <col min="10500" max="10500" width="12.77734375" style="394" hidden="1" customWidth="1"/>
    <col min="10501" max="10506" width="12.21875" style="394" hidden="1" customWidth="1"/>
    <col min="10507" max="10517" width="8.77734375" style="394" hidden="1" customWidth="1"/>
    <col min="10518" max="10752" width="8.77734375" style="394" hidden="1"/>
    <col min="10753" max="10753" width="32.77734375" style="394" hidden="1" customWidth="1"/>
    <col min="10754" max="10755" width="12.21875" style="394" hidden="1" customWidth="1"/>
    <col min="10756" max="10756" width="12.77734375" style="394" hidden="1" customWidth="1"/>
    <col min="10757" max="10762" width="12.21875" style="394" hidden="1" customWidth="1"/>
    <col min="10763" max="10773" width="8.77734375" style="394" hidden="1" customWidth="1"/>
    <col min="10774" max="11008" width="8.77734375" style="394" hidden="1"/>
    <col min="11009" max="11009" width="32.77734375" style="394" hidden="1" customWidth="1"/>
    <col min="11010" max="11011" width="12.21875" style="394" hidden="1" customWidth="1"/>
    <col min="11012" max="11012" width="12.77734375" style="394" hidden="1" customWidth="1"/>
    <col min="11013" max="11018" width="12.21875" style="394" hidden="1" customWidth="1"/>
    <col min="11019" max="11029" width="8.77734375" style="394" hidden="1" customWidth="1"/>
    <col min="11030" max="11264" width="8.77734375" style="394" hidden="1"/>
    <col min="11265" max="11265" width="32.77734375" style="394" hidden="1" customWidth="1"/>
    <col min="11266" max="11267" width="12.21875" style="394" hidden="1" customWidth="1"/>
    <col min="11268" max="11268" width="12.77734375" style="394" hidden="1" customWidth="1"/>
    <col min="11269" max="11274" width="12.21875" style="394" hidden="1" customWidth="1"/>
    <col min="11275" max="11285" width="8.77734375" style="394" hidden="1" customWidth="1"/>
    <col min="11286" max="11520" width="8.77734375" style="394" hidden="1"/>
    <col min="11521" max="11521" width="32.77734375" style="394" hidden="1" customWidth="1"/>
    <col min="11522" max="11523" width="12.21875" style="394" hidden="1" customWidth="1"/>
    <col min="11524" max="11524" width="12.77734375" style="394" hidden="1" customWidth="1"/>
    <col min="11525" max="11530" width="12.21875" style="394" hidden="1" customWidth="1"/>
    <col min="11531" max="11541" width="8.77734375" style="394" hidden="1" customWidth="1"/>
    <col min="11542" max="11776" width="8.77734375" style="394" hidden="1"/>
    <col min="11777" max="11777" width="32.77734375" style="394" hidden="1" customWidth="1"/>
    <col min="11778" max="11779" width="12.21875" style="394" hidden="1" customWidth="1"/>
    <col min="11780" max="11780" width="12.77734375" style="394" hidden="1" customWidth="1"/>
    <col min="11781" max="11786" width="12.21875" style="394" hidden="1" customWidth="1"/>
    <col min="11787" max="11797" width="8.77734375" style="394" hidden="1" customWidth="1"/>
    <col min="11798" max="12032" width="8.77734375" style="394" hidden="1"/>
    <col min="12033" max="12033" width="32.77734375" style="394" hidden="1" customWidth="1"/>
    <col min="12034" max="12035" width="12.21875" style="394" hidden="1" customWidth="1"/>
    <col min="12036" max="12036" width="12.77734375" style="394" hidden="1" customWidth="1"/>
    <col min="12037" max="12042" width="12.21875" style="394" hidden="1" customWidth="1"/>
    <col min="12043" max="12053" width="8.77734375" style="394" hidden="1" customWidth="1"/>
    <col min="12054" max="12288" width="8.77734375" style="394" hidden="1"/>
    <col min="12289" max="12289" width="32.77734375" style="394" hidden="1" customWidth="1"/>
    <col min="12290" max="12291" width="12.21875" style="394" hidden="1" customWidth="1"/>
    <col min="12292" max="12292" width="12.77734375" style="394" hidden="1" customWidth="1"/>
    <col min="12293" max="12298" width="12.21875" style="394" hidden="1" customWidth="1"/>
    <col min="12299" max="12309" width="8.77734375" style="394" hidden="1" customWidth="1"/>
    <col min="12310" max="12544" width="8.77734375" style="394" hidden="1"/>
    <col min="12545" max="12545" width="32.77734375" style="394" hidden="1" customWidth="1"/>
    <col min="12546" max="12547" width="12.21875" style="394" hidden="1" customWidth="1"/>
    <col min="12548" max="12548" width="12.77734375" style="394" hidden="1" customWidth="1"/>
    <col min="12549" max="12554" width="12.21875" style="394" hidden="1" customWidth="1"/>
    <col min="12555" max="12565" width="8.77734375" style="394" hidden="1" customWidth="1"/>
    <col min="12566" max="12800" width="8.77734375" style="394" hidden="1"/>
    <col min="12801" max="12801" width="32.77734375" style="394" hidden="1" customWidth="1"/>
    <col min="12802" max="12803" width="12.21875" style="394" hidden="1" customWidth="1"/>
    <col min="12804" max="12804" width="12.77734375" style="394" hidden="1" customWidth="1"/>
    <col min="12805" max="12810" width="12.21875" style="394" hidden="1" customWidth="1"/>
    <col min="12811" max="12821" width="8.77734375" style="394" hidden="1" customWidth="1"/>
    <col min="12822" max="13056" width="8.77734375" style="394" hidden="1"/>
    <col min="13057" max="13057" width="32.77734375" style="394" hidden="1" customWidth="1"/>
    <col min="13058" max="13059" width="12.21875" style="394" hidden="1" customWidth="1"/>
    <col min="13060" max="13060" width="12.77734375" style="394" hidden="1" customWidth="1"/>
    <col min="13061" max="13066" width="12.21875" style="394" hidden="1" customWidth="1"/>
    <col min="13067" max="13077" width="8.77734375" style="394" hidden="1" customWidth="1"/>
    <col min="13078" max="13312" width="8.77734375" style="394" hidden="1"/>
    <col min="13313" max="13313" width="32.77734375" style="394" hidden="1" customWidth="1"/>
    <col min="13314" max="13315" width="12.21875" style="394" hidden="1" customWidth="1"/>
    <col min="13316" max="13316" width="12.77734375" style="394" hidden="1" customWidth="1"/>
    <col min="13317" max="13322" width="12.21875" style="394" hidden="1" customWidth="1"/>
    <col min="13323" max="13333" width="8.77734375" style="394" hidden="1" customWidth="1"/>
    <col min="13334" max="13568" width="8.77734375" style="394" hidden="1"/>
    <col min="13569" max="13569" width="32.77734375" style="394" hidden="1" customWidth="1"/>
    <col min="13570" max="13571" width="12.21875" style="394" hidden="1" customWidth="1"/>
    <col min="13572" max="13572" width="12.77734375" style="394" hidden="1" customWidth="1"/>
    <col min="13573" max="13578" width="12.21875" style="394" hidden="1" customWidth="1"/>
    <col min="13579" max="13589" width="8.77734375" style="394" hidden="1" customWidth="1"/>
    <col min="13590" max="13824" width="8.77734375" style="394" hidden="1"/>
    <col min="13825" max="13825" width="32.77734375" style="394" hidden="1" customWidth="1"/>
    <col min="13826" max="13827" width="12.21875" style="394" hidden="1" customWidth="1"/>
    <col min="13828" max="13828" width="12.77734375" style="394" hidden="1" customWidth="1"/>
    <col min="13829" max="13834" width="12.21875" style="394" hidden="1" customWidth="1"/>
    <col min="13835" max="13845" width="8.77734375" style="394" hidden="1" customWidth="1"/>
    <col min="13846" max="14080" width="8.77734375" style="394" hidden="1"/>
    <col min="14081" max="14081" width="32.77734375" style="394" hidden="1" customWidth="1"/>
    <col min="14082" max="14083" width="12.21875" style="394" hidden="1" customWidth="1"/>
    <col min="14084" max="14084" width="12.77734375" style="394" hidden="1" customWidth="1"/>
    <col min="14085" max="14090" width="12.21875" style="394" hidden="1" customWidth="1"/>
    <col min="14091" max="14101" width="8.77734375" style="394" hidden="1" customWidth="1"/>
    <col min="14102" max="14336" width="8.77734375" style="394" hidden="1"/>
    <col min="14337" max="14337" width="32.77734375" style="394" hidden="1" customWidth="1"/>
    <col min="14338" max="14339" width="12.21875" style="394" hidden="1" customWidth="1"/>
    <col min="14340" max="14340" width="12.77734375" style="394" hidden="1" customWidth="1"/>
    <col min="14341" max="14346" width="12.21875" style="394" hidden="1" customWidth="1"/>
    <col min="14347" max="14357" width="8.77734375" style="394" hidden="1" customWidth="1"/>
    <col min="14358" max="14592" width="8.77734375" style="394" hidden="1"/>
    <col min="14593" max="14593" width="32.77734375" style="394" hidden="1" customWidth="1"/>
    <col min="14594" max="14595" width="12.21875" style="394" hidden="1" customWidth="1"/>
    <col min="14596" max="14596" width="12.77734375" style="394" hidden="1" customWidth="1"/>
    <col min="14597" max="14602" width="12.21875" style="394" hidden="1" customWidth="1"/>
    <col min="14603" max="14613" width="8.77734375" style="394" hidden="1" customWidth="1"/>
    <col min="14614" max="14848" width="8.77734375" style="394" hidden="1"/>
    <col min="14849" max="14849" width="32.77734375" style="394" hidden="1" customWidth="1"/>
    <col min="14850" max="14851" width="12.21875" style="394" hidden="1" customWidth="1"/>
    <col min="14852" max="14852" width="12.77734375" style="394" hidden="1" customWidth="1"/>
    <col min="14853" max="14858" width="12.21875" style="394" hidden="1" customWidth="1"/>
    <col min="14859" max="14869" width="8.77734375" style="394" hidden="1" customWidth="1"/>
    <col min="14870" max="15104" width="8.77734375" style="394" hidden="1"/>
    <col min="15105" max="15105" width="32.77734375" style="394" hidden="1" customWidth="1"/>
    <col min="15106" max="15107" width="12.21875" style="394" hidden="1" customWidth="1"/>
    <col min="15108" max="15108" width="12.77734375" style="394" hidden="1" customWidth="1"/>
    <col min="15109" max="15114" width="12.21875" style="394" hidden="1" customWidth="1"/>
    <col min="15115" max="15125" width="8.77734375" style="394" hidden="1" customWidth="1"/>
    <col min="15126" max="15360" width="8.77734375" style="394" hidden="1"/>
    <col min="15361" max="15361" width="32.77734375" style="394" hidden="1" customWidth="1"/>
    <col min="15362" max="15363" width="12.21875" style="394" hidden="1" customWidth="1"/>
    <col min="15364" max="15364" width="12.77734375" style="394" hidden="1" customWidth="1"/>
    <col min="15365" max="15370" width="12.21875" style="394" hidden="1" customWidth="1"/>
    <col min="15371" max="15381" width="8.77734375" style="394" hidden="1" customWidth="1"/>
    <col min="15382" max="15616" width="8.77734375" style="394" hidden="1"/>
    <col min="15617" max="15617" width="32.77734375" style="394" hidden="1" customWidth="1"/>
    <col min="15618" max="15619" width="12.21875" style="394" hidden="1" customWidth="1"/>
    <col min="15620" max="15620" width="12.77734375" style="394" hidden="1" customWidth="1"/>
    <col min="15621" max="15626" width="12.21875" style="394" hidden="1" customWidth="1"/>
    <col min="15627" max="15637" width="8.77734375" style="394" hidden="1" customWidth="1"/>
    <col min="15638" max="15872" width="8.77734375" style="394" hidden="1"/>
    <col min="15873" max="15873" width="32.77734375" style="394" hidden="1" customWidth="1"/>
    <col min="15874" max="15875" width="12.21875" style="394" hidden="1" customWidth="1"/>
    <col min="15876" max="15876" width="12.77734375" style="394" hidden="1" customWidth="1"/>
    <col min="15877" max="15882" width="12.21875" style="394" hidden="1" customWidth="1"/>
    <col min="15883" max="15893" width="8.77734375" style="394" hidden="1" customWidth="1"/>
    <col min="15894" max="16128" width="8.77734375" style="394" hidden="1"/>
    <col min="16129" max="16129" width="32.77734375" style="394" hidden="1" customWidth="1"/>
    <col min="16130" max="16131" width="12.21875" style="394" hidden="1" customWidth="1"/>
    <col min="16132" max="16132" width="12.77734375" style="394" hidden="1" customWidth="1"/>
    <col min="16133" max="16138" width="12.21875" style="394" hidden="1" customWidth="1"/>
    <col min="16139" max="16149" width="8.77734375" style="394" hidden="1" customWidth="1"/>
    <col min="16150" max="16384" width="8.77734375" style="394" hidden="1"/>
  </cols>
  <sheetData>
    <row r="1" spans="1:11" s="357" customFormat="1" ht="13.2">
      <c r="A1" s="1931" t="s">
        <v>1227</v>
      </c>
      <c r="B1" s="1932"/>
      <c r="C1" s="1932"/>
      <c r="D1" s="1932"/>
      <c r="E1" s="1932"/>
      <c r="F1" s="1932"/>
      <c r="G1" s="1932"/>
      <c r="H1" s="1932"/>
      <c r="I1" s="1932"/>
      <c r="J1" s="1933"/>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5800000</v>
      </c>
      <c r="C4" s="363">
        <v>5800000</v>
      </c>
      <c r="D4" s="363"/>
      <c r="E4" s="364"/>
      <c r="F4" s="364"/>
      <c r="G4" s="364"/>
      <c r="H4" s="364"/>
      <c r="I4" s="364"/>
      <c r="J4" s="364"/>
      <c r="K4" s="360"/>
    </row>
    <row r="5" spans="1:11" s="361" customFormat="1" ht="11.4">
      <c r="A5" s="365" t="s">
        <v>28</v>
      </c>
      <c r="B5" s="362">
        <f>'Sources and Uses Budget'!C5</f>
        <v>0</v>
      </c>
      <c r="C5" s="363"/>
      <c r="D5" s="363"/>
      <c r="E5" s="364"/>
      <c r="F5" s="364"/>
      <c r="G5" s="364"/>
      <c r="H5" s="364"/>
      <c r="I5" s="364"/>
      <c r="J5" s="364"/>
      <c r="K5" s="360"/>
    </row>
    <row r="6" spans="1:11" s="361" customFormat="1" ht="11.4">
      <c r="A6" s="365" t="s">
        <v>29</v>
      </c>
      <c r="B6" s="362">
        <f>'Sources and Uses Budget'!C6</f>
        <v>0</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593</v>
      </c>
      <c r="B8" s="362">
        <f>'Sources and Uses Budget'!C8</f>
        <v>5800000</v>
      </c>
      <c r="C8" s="362">
        <f>SUM(C4:C7)</f>
        <v>5800000</v>
      </c>
      <c r="D8" s="362">
        <f>SUM(D4:D7)</f>
        <v>0</v>
      </c>
      <c r="E8" s="364"/>
      <c r="F8" s="364"/>
      <c r="G8" s="364"/>
      <c r="H8" s="364"/>
      <c r="I8" s="364"/>
      <c r="J8" s="364"/>
      <c r="K8" s="360"/>
    </row>
    <row r="9" spans="1:11" s="361" customFormat="1" ht="11.4">
      <c r="A9" s="365" t="s">
        <v>594</v>
      </c>
      <c r="B9" s="362">
        <f>'Sources and Uses Budget'!C9</f>
        <v>10900000</v>
      </c>
      <c r="C9" s="363">
        <v>10900000</v>
      </c>
      <c r="D9" s="363"/>
      <c r="E9" s="364"/>
      <c r="F9" s="364"/>
      <c r="G9" s="364"/>
      <c r="H9" s="362">
        <f>'Sources and Uses Budget'!T9</f>
        <v>10900000</v>
      </c>
      <c r="I9" s="363">
        <v>10900000</v>
      </c>
      <c r="J9" s="363"/>
      <c r="K9" s="360"/>
    </row>
    <row r="10" spans="1:11" s="361" customFormat="1" ht="11.4">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10900000</v>
      </c>
      <c r="C11" s="362">
        <f>SUM(C9:C10)</f>
        <v>10900000</v>
      </c>
      <c r="D11" s="362">
        <f>SUM(D9:D10)</f>
        <v>0</v>
      </c>
      <c r="E11" s="364"/>
      <c r="F11" s="364"/>
      <c r="G11" s="364"/>
      <c r="H11" s="362">
        <f>'Sources and Uses Budget'!T11</f>
        <v>10900000</v>
      </c>
      <c r="I11" s="362">
        <f>SUM(I9:I10)</f>
        <v>10900000</v>
      </c>
      <c r="J11" s="362">
        <f>SUM(J9:J10)</f>
        <v>0</v>
      </c>
      <c r="K11" s="360"/>
    </row>
    <row r="12" spans="1:11" s="361" customFormat="1">
      <c r="A12" s="366" t="s">
        <v>84</v>
      </c>
      <c r="B12" s="362">
        <f>'Sources and Uses Budget'!C12</f>
        <v>16700000</v>
      </c>
      <c r="C12" s="362">
        <f>SUM(C8+C11)</f>
        <v>16700000</v>
      </c>
      <c r="D12" s="362">
        <f>SUM(D8+D11)</f>
        <v>0</v>
      </c>
      <c r="E12" s="364"/>
      <c r="F12" s="364"/>
      <c r="G12" s="364"/>
      <c r="H12" s="364"/>
      <c r="I12" s="364"/>
      <c r="J12" s="364"/>
      <c r="K12" s="360"/>
    </row>
    <row r="13" spans="1:11" s="361" customFormat="1" ht="11.4">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2.8">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597</v>
      </c>
      <c r="B16" s="359"/>
      <c r="C16" s="359"/>
      <c r="D16" s="359"/>
      <c r="E16" s="359"/>
      <c r="F16" s="359"/>
      <c r="G16" s="359"/>
      <c r="H16" s="359"/>
      <c r="I16" s="359"/>
      <c r="J16" s="359"/>
      <c r="K16" s="360"/>
    </row>
    <row r="17" spans="1:11" s="361" customFormat="1" ht="11.4">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599</v>
      </c>
      <c r="B18" s="362">
        <f>'Sources and Uses Budget'!C18</f>
        <v>10742629</v>
      </c>
      <c r="C18" s="363">
        <v>10742629</v>
      </c>
      <c r="D18" s="363"/>
      <c r="E18" s="362">
        <f>'Sources and Uses Budget'!S18</f>
        <v>10742629</v>
      </c>
      <c r="F18" s="363">
        <v>10742629</v>
      </c>
      <c r="G18" s="363"/>
      <c r="H18" s="362">
        <f>'Sources and Uses Budget'!T18</f>
        <v>0</v>
      </c>
      <c r="I18" s="363"/>
      <c r="J18" s="363"/>
      <c r="K18" s="360"/>
    </row>
    <row r="19" spans="1:11" s="361" customFormat="1" ht="11.4">
      <c r="A19" s="365" t="s">
        <v>600</v>
      </c>
      <c r="B19" s="362">
        <f>'Sources and Uses Budget'!C19</f>
        <v>645508</v>
      </c>
      <c r="C19" s="363">
        <v>645508</v>
      </c>
      <c r="D19" s="363"/>
      <c r="E19" s="362">
        <f>'Sources and Uses Budget'!S19</f>
        <v>645508</v>
      </c>
      <c r="F19" s="363">
        <v>645508</v>
      </c>
      <c r="G19" s="363"/>
      <c r="H19" s="362">
        <f>'Sources and Uses Budget'!T19</f>
        <v>0</v>
      </c>
      <c r="I19" s="363"/>
      <c r="J19" s="363"/>
      <c r="K19" s="360"/>
    </row>
    <row r="20" spans="1:11" s="361" customFormat="1" ht="11.4">
      <c r="A20" s="365" t="s">
        <v>137</v>
      </c>
      <c r="B20" s="362">
        <f>'Sources and Uses Budget'!C20</f>
        <v>386039</v>
      </c>
      <c r="C20" s="363">
        <v>386039</v>
      </c>
      <c r="D20" s="363"/>
      <c r="E20" s="362">
        <f>'Sources and Uses Budget'!S20</f>
        <v>386039</v>
      </c>
      <c r="F20" s="363">
        <v>386039</v>
      </c>
      <c r="G20" s="363"/>
      <c r="H20" s="362">
        <f>'Sources and Uses Budget'!T20</f>
        <v>0</v>
      </c>
      <c r="I20" s="363"/>
      <c r="J20" s="363"/>
      <c r="K20" s="360"/>
    </row>
    <row r="21" spans="1:11" s="361" customFormat="1" ht="11.4">
      <c r="A21" s="365" t="s">
        <v>138</v>
      </c>
      <c r="B21" s="362">
        <f>'Sources and Uses Budget'!C21</f>
        <v>386039</v>
      </c>
      <c r="C21" s="363">
        <v>386039</v>
      </c>
      <c r="D21" s="363"/>
      <c r="E21" s="362">
        <f>'Sources and Uses Budget'!S21</f>
        <v>386039</v>
      </c>
      <c r="F21" s="363">
        <v>386039</v>
      </c>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157589</v>
      </c>
      <c r="C23" s="363">
        <v>157589</v>
      </c>
      <c r="D23" s="363"/>
      <c r="E23" s="362">
        <f>'Sources and Uses Budget'!S23</f>
        <v>157589</v>
      </c>
      <c r="F23" s="363">
        <v>157589</v>
      </c>
      <c r="G23" s="363"/>
      <c r="H23" s="362">
        <f>'Sources and Uses Budget'!T23</f>
        <v>0</v>
      </c>
      <c r="I23" s="363"/>
      <c r="J23" s="363"/>
      <c r="K23" s="360"/>
    </row>
    <row r="24" spans="1:11" s="361" customFormat="1" ht="11.4">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(Payment &amp; Performance Bond)</v>
      </c>
      <c r="B25" s="362">
        <f>'Sources and Uses Budget'!C25</f>
        <v>168564</v>
      </c>
      <c r="C25" s="363">
        <v>168564</v>
      </c>
      <c r="D25" s="363"/>
      <c r="E25" s="362">
        <f>'Sources and Uses Budget'!S25</f>
        <v>168564</v>
      </c>
      <c r="F25" s="363">
        <v>168564</v>
      </c>
      <c r="G25" s="363"/>
      <c r="H25" s="362">
        <f>'Sources and Uses Budget'!T25</f>
        <v>0</v>
      </c>
      <c r="I25" s="363"/>
      <c r="J25" s="363"/>
      <c r="K25" s="360"/>
    </row>
    <row r="26" spans="1:11" s="361" customFormat="1">
      <c r="A26" s="366" t="s">
        <v>133</v>
      </c>
      <c r="B26" s="362">
        <f>'Sources and Uses Budget'!C26</f>
        <v>12486368</v>
      </c>
      <c r="C26" s="362">
        <f>SUM(C17:C25)</f>
        <v>12486368</v>
      </c>
      <c r="D26" s="362">
        <f>SUM(D17:D25)</f>
        <v>0</v>
      </c>
      <c r="E26" s="362">
        <f>'Sources and Uses Budget'!S26</f>
        <v>12486368</v>
      </c>
      <c r="F26" s="368">
        <f>SUM(F17:F25)</f>
        <v>12486368</v>
      </c>
      <c r="G26" s="368">
        <f>SUM(G17:G25)</f>
        <v>0</v>
      </c>
      <c r="H26" s="362">
        <f>'Sources and Uses Budget'!T26</f>
        <v>0</v>
      </c>
      <c r="I26" s="368">
        <f>SUM(I17:I25)</f>
        <v>0</v>
      </c>
      <c r="J26" s="368">
        <f>SUM(J17:J25)</f>
        <v>0</v>
      </c>
      <c r="K26" s="360"/>
    </row>
    <row r="27" spans="1:11" s="361" customFormat="1">
      <c r="A27" s="366" t="s">
        <v>141</v>
      </c>
      <c r="B27" s="362">
        <f>'Sources and Uses Budget'!C27</f>
        <v>1047050</v>
      </c>
      <c r="C27" s="363">
        <v>1047050</v>
      </c>
      <c r="D27" s="363"/>
      <c r="E27" s="362">
        <f>'Sources and Uses Budget'!S27</f>
        <v>1047050</v>
      </c>
      <c r="F27" s="363">
        <v>1047050</v>
      </c>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ht="11.4">
      <c r="A30" s="145" t="s">
        <v>599</v>
      </c>
      <c r="B30" s="362">
        <f>'Sources and Uses Budget'!C30</f>
        <v>0</v>
      </c>
      <c r="C30" s="363"/>
      <c r="D30" s="363"/>
      <c r="E30" s="362">
        <f>'Sources and Uses Budget'!S30</f>
        <v>0</v>
      </c>
      <c r="F30" s="363"/>
      <c r="G30" s="363"/>
      <c r="H30" s="362">
        <f>'Sources and Uses Budget'!T30</f>
        <v>0</v>
      </c>
      <c r="I30" s="363"/>
      <c r="J30" s="363"/>
      <c r="K30" s="360"/>
    </row>
    <row r="31" spans="1:11" s="361" customFormat="1" ht="11.4">
      <c r="A31" s="145" t="s">
        <v>600</v>
      </c>
      <c r="B31" s="362">
        <f>'Sources and Uses Budget'!C31</f>
        <v>0</v>
      </c>
      <c r="C31" s="363"/>
      <c r="D31" s="363"/>
      <c r="E31" s="362">
        <f>'Sources and Uses Budget'!S31</f>
        <v>0</v>
      </c>
      <c r="F31" s="363"/>
      <c r="G31" s="363"/>
      <c r="H31" s="362">
        <f>'Sources and Uses Budget'!T31</f>
        <v>0</v>
      </c>
      <c r="I31" s="363"/>
      <c r="J31" s="363"/>
      <c r="K31" s="360"/>
    </row>
    <row r="32" spans="1:11" s="361" customFormat="1" ht="11.4">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ht="11.4">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ht="11.4">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305000</v>
      </c>
      <c r="C40" s="363">
        <v>305000</v>
      </c>
      <c r="D40" s="363"/>
      <c r="E40" s="362">
        <f>'Sources and Uses Budget'!S40</f>
        <v>305000</v>
      </c>
      <c r="F40" s="363">
        <v>305000</v>
      </c>
      <c r="G40" s="363"/>
      <c r="H40" s="362">
        <f>'Sources and Uses Budget'!T40</f>
        <v>0</v>
      </c>
      <c r="I40" s="363"/>
      <c r="J40" s="363"/>
      <c r="K40" s="360"/>
    </row>
    <row r="41" spans="1:11" s="361" customFormat="1" ht="11.4">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305000</v>
      </c>
      <c r="C42" s="362">
        <f>SUM(C39:C41)</f>
        <v>305000</v>
      </c>
      <c r="D42" s="362">
        <f>SUM(D39:D41)</f>
        <v>0</v>
      </c>
      <c r="E42" s="362">
        <f>'Sources and Uses Budget'!S42</f>
        <v>305000</v>
      </c>
      <c r="F42" s="368">
        <f>SUM(F40:F41)</f>
        <v>305000</v>
      </c>
      <c r="G42" s="368">
        <f>SUM(G40:G41)</f>
        <v>0</v>
      </c>
      <c r="H42" s="362">
        <f>'Sources and Uses Budget'!T42</f>
        <v>0</v>
      </c>
      <c r="I42" s="368">
        <f>SUM(I40:I41)</f>
        <v>0</v>
      </c>
      <c r="J42" s="368">
        <f>SUM(J40:J41)</f>
        <v>0</v>
      </c>
      <c r="K42" s="360"/>
    </row>
    <row r="43" spans="1:11" s="361" customFormat="1">
      <c r="A43" s="366" t="s">
        <v>148</v>
      </c>
      <c r="B43" s="362">
        <f>'Sources and Uses Budget'!C43</f>
        <v>97900</v>
      </c>
      <c r="C43" s="363">
        <v>97900</v>
      </c>
      <c r="D43" s="363"/>
      <c r="E43" s="362">
        <f>'Sources and Uses Budget'!S43</f>
        <v>97900</v>
      </c>
      <c r="F43" s="363">
        <v>97900</v>
      </c>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2188576</v>
      </c>
      <c r="C45" s="363">
        <v>2188576</v>
      </c>
      <c r="D45" s="363"/>
      <c r="E45" s="362">
        <f>'Sources and Uses Budget'!S45</f>
        <v>1094287.5</v>
      </c>
      <c r="F45" s="363">
        <v>1094287.5</v>
      </c>
      <c r="G45" s="363"/>
      <c r="H45" s="362">
        <f>'Sources and Uses Budget'!T45</f>
        <v>0</v>
      </c>
      <c r="I45" s="363"/>
      <c r="J45" s="363"/>
      <c r="K45" s="360"/>
    </row>
    <row r="46" spans="1:11" s="361" customFormat="1" ht="11.4">
      <c r="A46" s="365" t="s">
        <v>151</v>
      </c>
      <c r="B46" s="362">
        <f>'Sources and Uses Budget'!C46</f>
        <v>213000</v>
      </c>
      <c r="C46" s="363">
        <v>213000</v>
      </c>
      <c r="D46" s="363"/>
      <c r="E46" s="362">
        <f>'Sources and Uses Budget'!S46</f>
        <v>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ht="11.4">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ht="11.4">
      <c r="A49" s="284" t="s">
        <v>57</v>
      </c>
      <c r="B49" s="362">
        <f>'Sources and Uses Budget'!C49</f>
        <v>320529</v>
      </c>
      <c r="C49" s="363">
        <v>320529</v>
      </c>
      <c r="D49" s="363"/>
      <c r="E49" s="362">
        <f>'Sources and Uses Budget'!S49</f>
        <v>144000</v>
      </c>
      <c r="F49" s="363">
        <v>144000</v>
      </c>
      <c r="G49" s="363"/>
      <c r="H49" s="362">
        <f>'Sources and Uses Budget'!T49</f>
        <v>0</v>
      </c>
      <c r="I49" s="363"/>
      <c r="J49" s="363"/>
      <c r="K49" s="360"/>
    </row>
    <row r="50" spans="1:11" s="361" customFormat="1" ht="11.4">
      <c r="A50" s="365" t="s">
        <v>156</v>
      </c>
      <c r="B50" s="362">
        <f>'Sources and Uses Budget'!C50</f>
        <v>50000</v>
      </c>
      <c r="C50" s="363">
        <v>50000</v>
      </c>
      <c r="D50" s="363"/>
      <c r="E50" s="362">
        <f>'Sources and Uses Budget'!S50</f>
        <v>50000</v>
      </c>
      <c r="F50" s="363">
        <v>50000</v>
      </c>
      <c r="G50" s="363"/>
      <c r="H50" s="362">
        <f>'Sources and Uses Budget'!T50</f>
        <v>0</v>
      </c>
      <c r="I50" s="363"/>
      <c r="J50" s="363"/>
      <c r="K50" s="360"/>
    </row>
    <row r="51" spans="1:11" s="361" customFormat="1" ht="11.4">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ht="11.4">
      <c r="A52" s="365" t="s">
        <v>155</v>
      </c>
      <c r="B52" s="362">
        <f>'Sources and Uses Budget'!C52</f>
        <v>350000</v>
      </c>
      <c r="C52" s="363">
        <v>350000</v>
      </c>
      <c r="D52" s="363"/>
      <c r="E52" s="362">
        <f>'Sources and Uses Budget'!S52</f>
        <v>350000</v>
      </c>
      <c r="F52" s="363">
        <v>350000</v>
      </c>
      <c r="G52" s="363"/>
      <c r="H52" s="362">
        <f>'Sources and Uses Budget'!T52</f>
        <v>0</v>
      </c>
      <c r="I52" s="363"/>
      <c r="J52" s="363"/>
      <c r="K52" s="360"/>
    </row>
    <row r="53" spans="1:11" s="361" customFormat="1" ht="22.8">
      <c r="A53" s="365" t="str">
        <f>'Sources and Uses Budget'!$A53</f>
        <v>Other: (Bank Construction Inspections &amp;Third Party Reports)</v>
      </c>
      <c r="B53" s="362">
        <f>'Sources and Uses Budget'!C53</f>
        <v>40000</v>
      </c>
      <c r="C53" s="363">
        <v>40000</v>
      </c>
      <c r="D53" s="363"/>
      <c r="E53" s="362">
        <f>'Sources and Uses Budget'!S53</f>
        <v>40000</v>
      </c>
      <c r="F53" s="363">
        <v>40000</v>
      </c>
      <c r="G53" s="363"/>
      <c r="H53" s="362">
        <f>'Sources and Uses Budget'!T53</f>
        <v>0</v>
      </c>
      <c r="I53" s="363"/>
      <c r="J53" s="363"/>
      <c r="K53" s="360"/>
    </row>
    <row r="54" spans="1:11" s="370" customFormat="1">
      <c r="A54" s="366" t="s">
        <v>157</v>
      </c>
      <c r="B54" s="362">
        <f>'Sources and Uses Budget'!C54</f>
        <v>3162105</v>
      </c>
      <c r="C54" s="368">
        <f>SUM(C45:C53)</f>
        <v>3162105</v>
      </c>
      <c r="D54" s="368">
        <f>SUM(D45:D53)</f>
        <v>0</v>
      </c>
      <c r="E54" s="362">
        <f>'Sources and Uses Budget'!S54</f>
        <v>1678287.5</v>
      </c>
      <c r="F54" s="368">
        <f>SUM(F45:F53)</f>
        <v>1678287.5</v>
      </c>
      <c r="G54" s="368">
        <f>SUM(G45:G53)</f>
        <v>0</v>
      </c>
      <c r="H54" s="362">
        <f>'Sources and Uses Budget'!T54</f>
        <v>0</v>
      </c>
      <c r="I54" s="368">
        <f>SUM(I45:I53)</f>
        <v>0</v>
      </c>
      <c r="J54" s="368">
        <f>SUM(J45:J53)</f>
        <v>0</v>
      </c>
      <c r="K54" s="369"/>
    </row>
    <row r="55" spans="1:11" s="361" customFormat="1" ht="11.4">
      <c r="A55" s="358" t="s">
        <v>417</v>
      </c>
      <c r="B55" s="359"/>
      <c r="C55" s="359"/>
      <c r="D55" s="359"/>
      <c r="E55" s="359"/>
      <c r="F55" s="359"/>
      <c r="G55" s="359"/>
      <c r="H55" s="359"/>
      <c r="I55" s="359"/>
      <c r="J55" s="359"/>
      <c r="K55" s="360"/>
    </row>
    <row r="56" spans="1:11" s="361" customFormat="1" ht="11.4">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ht="11.4">
      <c r="A58" s="365" t="s">
        <v>156</v>
      </c>
      <c r="B58" s="362">
        <f>'Sources and Uses Budget'!C58</f>
        <v>30000</v>
      </c>
      <c r="C58" s="363">
        <v>30000</v>
      </c>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11.4">
      <c r="A61" s="365" t="str">
        <f>'Sources and Uses Budget'!$A61</f>
        <v>Other: (Specify)</v>
      </c>
      <c r="B61" s="362">
        <f>'Sources and Uses Budget'!C61</f>
        <v>0</v>
      </c>
      <c r="C61" s="363"/>
      <c r="D61" s="363"/>
      <c r="E61" s="364"/>
      <c r="F61" s="364"/>
      <c r="G61" s="364"/>
      <c r="H61" s="364"/>
      <c r="I61" s="364"/>
      <c r="J61" s="364"/>
      <c r="K61" s="360"/>
    </row>
    <row r="62" spans="1:11" s="361" customFormat="1" ht="13.8" customHeight="1">
      <c r="A62" s="366" t="s">
        <v>300</v>
      </c>
      <c r="B62" s="362">
        <f>'Sources and Uses Budget'!C62</f>
        <v>30000</v>
      </c>
      <c r="C62" s="362">
        <f>SUM(C56:C61)</f>
        <v>30000</v>
      </c>
      <c r="D62" s="362">
        <f>SUM(D56:D61)</f>
        <v>0</v>
      </c>
      <c r="E62" s="364"/>
      <c r="F62" s="364"/>
      <c r="G62" s="364"/>
      <c r="H62" s="364"/>
      <c r="I62" s="364"/>
      <c r="J62" s="364"/>
      <c r="K62" s="360"/>
    </row>
    <row r="63" spans="1:11" s="361" customFormat="1" ht="11.4">
      <c r="A63" s="371" t="s">
        <v>301</v>
      </c>
      <c r="B63" s="362">
        <f>'Sources and Uses Budget'!C63</f>
        <v>33828423</v>
      </c>
      <c r="C63" s="362">
        <f>SUM(C8+C11+C13+C14+C15+C26+C27+C38+C42+C43+C54+C62)</f>
        <v>33828423</v>
      </c>
      <c r="D63" s="362">
        <f>SUM(D8+D11+D13+D14+D15+D26+D27+D38+D42+D43+D54+D62)</f>
        <v>0</v>
      </c>
      <c r="E63" s="362">
        <f>'Sources and Uses Budget'!S63</f>
        <v>15614605.5</v>
      </c>
      <c r="F63" s="362">
        <f>SUM(F10+F13+F14+F15+F26+F27+F38+F42+F43+F54)</f>
        <v>15614605.5</v>
      </c>
      <c r="G63" s="362">
        <f>SUM(G10+G13+G14+G15+G26+G27+G38+G42+G43+G54)</f>
        <v>0</v>
      </c>
      <c r="H63" s="362">
        <f>'Sources and Uses Budget'!T63</f>
        <v>10900000</v>
      </c>
      <c r="I63" s="362">
        <f>SUM(I11+I13+I14+I15+I26+I27+I38+I42+I43+I54)</f>
        <v>10900000</v>
      </c>
      <c r="J63" s="362">
        <f>SUM(J11+J13+J14+J15+J26+J27+J38+J42+J43+J54)</f>
        <v>0</v>
      </c>
      <c r="K63" s="360"/>
    </row>
    <row r="64" spans="1:11" s="361" customFormat="1" ht="22.8">
      <c r="A64" s="141" t="s">
        <v>1644</v>
      </c>
      <c r="B64" s="359"/>
      <c r="C64" s="359"/>
      <c r="D64" s="359"/>
      <c r="E64" s="359"/>
      <c r="F64" s="359"/>
      <c r="G64" s="359"/>
      <c r="H64" s="359"/>
      <c r="I64" s="359"/>
      <c r="J64" s="359"/>
      <c r="K64" s="360"/>
    </row>
    <row r="65" spans="1:11" s="361" customFormat="1" ht="11.4">
      <c r="A65" s="145" t="s">
        <v>170</v>
      </c>
      <c r="B65" s="362">
        <f>'Sources and Uses Budget'!C65</f>
        <v>0</v>
      </c>
      <c r="C65" s="363"/>
      <c r="D65" s="363"/>
      <c r="E65" s="362">
        <f>'Sources and Uses Budget'!S65</f>
        <v>0</v>
      </c>
      <c r="F65" s="363"/>
      <c r="G65" s="363"/>
      <c r="H65" s="362">
        <f>'Sources and Uses Budget'!T65</f>
        <v>0</v>
      </c>
      <c r="I65" s="363"/>
      <c r="J65" s="363"/>
      <c r="K65" s="360"/>
    </row>
    <row r="66" spans="1:11" s="361" customFormat="1" ht="22.8">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2.8">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22.8">
      <c r="A69" s="365" t="str">
        <f>'Sources and Uses Budget'!$A69</f>
        <v>Other: (Applicant Legal, Including HUD Counsel)</v>
      </c>
      <c r="B69" s="362">
        <f>'Sources and Uses Budget'!C69</f>
        <v>85000</v>
      </c>
      <c r="C69" s="363">
        <v>85000</v>
      </c>
      <c r="D69" s="363"/>
      <c r="E69" s="362">
        <f>'Sources and Uses Budget'!S69</f>
        <v>40000</v>
      </c>
      <c r="F69" s="363">
        <v>40000</v>
      </c>
      <c r="G69" s="363"/>
      <c r="H69" s="362">
        <f>'Sources and Uses Budget'!T69</f>
        <v>0</v>
      </c>
      <c r="I69" s="363"/>
      <c r="J69" s="363"/>
      <c r="K69" s="360"/>
    </row>
    <row r="70" spans="1:11" s="361" customFormat="1">
      <c r="A70" s="366" t="s">
        <v>601</v>
      </c>
      <c r="B70" s="362">
        <f>'Sources and Uses Budget'!C70</f>
        <v>85000</v>
      </c>
      <c r="C70" s="362">
        <f>SUM(C64:C69)</f>
        <v>85000</v>
      </c>
      <c r="D70" s="362">
        <f>SUM(D64:D69)</f>
        <v>0</v>
      </c>
      <c r="E70" s="362">
        <f>'Sources and Uses Budget'!S70</f>
        <v>40000</v>
      </c>
      <c r="F70" s="368">
        <f>SUM(F65:F69)</f>
        <v>40000</v>
      </c>
      <c r="G70" s="368">
        <f>SUM(G65:G69)</f>
        <v>0</v>
      </c>
      <c r="H70" s="362">
        <f>'Sources and Uses Budget'!T70</f>
        <v>0</v>
      </c>
      <c r="I70" s="368">
        <f>SUM(I65:I69)</f>
        <v>0</v>
      </c>
      <c r="J70" s="368">
        <f>SUM(J65:J69)</f>
        <v>0</v>
      </c>
      <c r="K70" s="360"/>
    </row>
    <row r="71" spans="1:11" s="361" customFormat="1" ht="11.4">
      <c r="A71" s="358" t="s">
        <v>602</v>
      </c>
      <c r="B71" s="359"/>
      <c r="C71" s="359"/>
      <c r="D71" s="359"/>
      <c r="E71" s="359"/>
      <c r="F71" s="359"/>
      <c r="G71" s="359"/>
      <c r="H71" s="359"/>
      <c r="I71" s="359"/>
      <c r="J71" s="359"/>
      <c r="K71" s="360"/>
    </row>
    <row r="72" spans="1:11" s="361" customFormat="1" ht="11.4">
      <c r="A72" s="365" t="s">
        <v>603</v>
      </c>
      <c r="B72" s="362">
        <f>'Sources and Uses Budget'!C72</f>
        <v>0</v>
      </c>
      <c r="C72" s="363"/>
      <c r="D72" s="363"/>
      <c r="E72" s="364"/>
      <c r="F72" s="364"/>
      <c r="G72" s="364"/>
      <c r="H72" s="364"/>
      <c r="I72" s="364"/>
      <c r="J72" s="364"/>
      <c r="K72" s="360"/>
    </row>
    <row r="73" spans="1:11" s="361" customFormat="1" ht="11.4">
      <c r="A73" s="365" t="s">
        <v>604</v>
      </c>
      <c r="B73" s="362">
        <f>'Sources and Uses Budget'!C73</f>
        <v>0</v>
      </c>
      <c r="C73" s="363"/>
      <c r="D73" s="363"/>
      <c r="E73" s="364"/>
      <c r="F73" s="364"/>
      <c r="G73" s="364"/>
      <c r="H73" s="364"/>
      <c r="I73" s="364"/>
      <c r="J73" s="364"/>
      <c r="K73" s="360"/>
    </row>
    <row r="74" spans="1:11" s="361" customFormat="1" ht="11.4">
      <c r="A74" s="367" t="s">
        <v>986</v>
      </c>
      <c r="B74" s="362">
        <f>'Sources and Uses Budget'!C74</f>
        <v>224000</v>
      </c>
      <c r="C74" s="363">
        <v>224000</v>
      </c>
      <c r="D74" s="363"/>
      <c r="E74" s="364"/>
      <c r="F74" s="364"/>
      <c r="G74" s="364"/>
      <c r="H74" s="364"/>
      <c r="I74" s="364"/>
      <c r="J74" s="364"/>
      <c r="K74" s="360"/>
    </row>
    <row r="75" spans="1:11" s="361" customFormat="1" ht="11.4">
      <c r="A75" s="365" t="s">
        <v>605</v>
      </c>
      <c r="B75" s="362">
        <f>'Sources and Uses Budget'!C75</f>
        <v>671710</v>
      </c>
      <c r="C75" s="363">
        <v>671710</v>
      </c>
      <c r="D75" s="363"/>
      <c r="E75" s="364"/>
      <c r="F75" s="364"/>
      <c r="G75" s="364"/>
      <c r="H75" s="364"/>
      <c r="I75" s="364"/>
      <c r="J75" s="364"/>
      <c r="K75" s="360"/>
    </row>
    <row r="76" spans="1:11" s="361" customFormat="1" ht="11.4">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895710</v>
      </c>
      <c r="C77" s="362">
        <f>SUM(C72:C76)</f>
        <v>895710</v>
      </c>
      <c r="D77" s="362">
        <f>SUM(D72:D76)</f>
        <v>0</v>
      </c>
      <c r="E77" s="364"/>
      <c r="F77" s="364"/>
      <c r="G77" s="364"/>
      <c r="H77" s="364"/>
      <c r="I77" s="364"/>
      <c r="J77" s="364"/>
      <c r="K77" s="360"/>
    </row>
    <row r="78" spans="1:11" s="361" customFormat="1" ht="11.4">
      <c r="A78" s="358" t="s">
        <v>1210</v>
      </c>
      <c r="B78" s="359"/>
      <c r="C78" s="359"/>
      <c r="D78" s="359"/>
      <c r="E78" s="359"/>
      <c r="F78" s="359"/>
      <c r="G78" s="359"/>
      <c r="H78" s="359"/>
      <c r="I78" s="359"/>
      <c r="J78" s="359"/>
      <c r="K78" s="360"/>
    </row>
    <row r="79" spans="1:11" s="361" customFormat="1" ht="11.4">
      <c r="A79" s="365" t="s">
        <v>1212</v>
      </c>
      <c r="B79" s="362">
        <f>'Sources and Uses Budget'!C79</f>
        <v>1872955</v>
      </c>
      <c r="C79" s="363">
        <v>1872955</v>
      </c>
      <c r="D79" s="363"/>
      <c r="E79" s="362">
        <f>'Sources and Uses Budget'!S79</f>
        <v>1872955</v>
      </c>
      <c r="F79" s="363">
        <v>1872955</v>
      </c>
      <c r="G79" s="363"/>
      <c r="H79" s="362">
        <f>'Sources and Uses Budget'!T79</f>
        <v>0</v>
      </c>
      <c r="I79" s="363"/>
      <c r="J79" s="363"/>
      <c r="K79" s="360"/>
    </row>
    <row r="80" spans="1:11" s="361" customFormat="1" ht="11.4">
      <c r="A80" s="365" t="s">
        <v>58</v>
      </c>
      <c r="B80" s="362">
        <f>'Sources and Uses Budget'!C80</f>
        <v>154000</v>
      </c>
      <c r="C80" s="363">
        <v>154000</v>
      </c>
      <c r="D80" s="363"/>
      <c r="E80" s="362">
        <f>'Sources and Uses Budget'!S80</f>
        <v>154000</v>
      </c>
      <c r="F80" s="363">
        <v>154000</v>
      </c>
      <c r="G80" s="363"/>
      <c r="H80" s="362">
        <f>'Sources and Uses Budget'!T80</f>
        <v>0</v>
      </c>
      <c r="I80" s="363"/>
      <c r="J80" s="363"/>
      <c r="K80" s="360"/>
    </row>
    <row r="81" spans="1:11" s="361" customFormat="1">
      <c r="A81" s="366" t="s">
        <v>1209</v>
      </c>
      <c r="B81" s="362">
        <f>'Sources and Uses Budget'!C81</f>
        <v>2026955</v>
      </c>
      <c r="C81" s="362">
        <f>SUM(C79:C80)</f>
        <v>2026955</v>
      </c>
      <c r="D81" s="362">
        <f>SUM(D79:D80)</f>
        <v>0</v>
      </c>
      <c r="E81" s="362">
        <f>'Sources and Uses Budget'!S81</f>
        <v>2026955</v>
      </c>
      <c r="F81" s="362">
        <f>SUM(F79:F80)</f>
        <v>2026955</v>
      </c>
      <c r="G81" s="362">
        <f>SUM(G79:G80)</f>
        <v>0</v>
      </c>
      <c r="H81" s="362">
        <f>'Sources and Uses Budget'!T81</f>
        <v>0</v>
      </c>
      <c r="I81" s="362">
        <f>SUM(I79:I80)</f>
        <v>0</v>
      </c>
      <c r="J81" s="362">
        <f>SUM(J79:J80)</f>
        <v>0</v>
      </c>
      <c r="K81" s="360"/>
    </row>
    <row r="82" spans="1:11" s="361" customFormat="1" ht="11.4">
      <c r="A82" s="358" t="s">
        <v>765</v>
      </c>
      <c r="B82" s="359"/>
      <c r="C82" s="359"/>
      <c r="D82" s="359"/>
      <c r="E82" s="359"/>
      <c r="F82" s="359"/>
      <c r="G82" s="359"/>
      <c r="H82" s="359"/>
      <c r="I82" s="359"/>
      <c r="J82" s="359"/>
      <c r="K82" s="360"/>
    </row>
    <row r="83" spans="1:11" s="361" customFormat="1" ht="13.8" customHeight="1">
      <c r="A83" s="145" t="s">
        <v>2096</v>
      </c>
      <c r="B83" s="362">
        <f>'Sources and Uses Budget'!C83</f>
        <v>62544</v>
      </c>
      <c r="C83" s="363">
        <v>62544</v>
      </c>
      <c r="D83" s="363"/>
      <c r="E83" s="364"/>
      <c r="F83" s="364"/>
      <c r="G83" s="364"/>
      <c r="H83" s="364"/>
      <c r="I83" s="364"/>
      <c r="J83" s="364"/>
      <c r="K83" s="360"/>
    </row>
    <row r="84" spans="1:11" s="361" customFormat="1" ht="11.4">
      <c r="A84" s="145" t="s">
        <v>767</v>
      </c>
      <c r="B84" s="362">
        <f>'Sources and Uses Budget'!C84</f>
        <v>0</v>
      </c>
      <c r="C84" s="363"/>
      <c r="D84" s="363"/>
      <c r="E84" s="362">
        <f>'Sources and Uses Budget'!S84</f>
        <v>0</v>
      </c>
      <c r="F84" s="363"/>
      <c r="G84" s="363"/>
      <c r="H84" s="362">
        <f>'Sources and Uses Budget'!T84</f>
        <v>0</v>
      </c>
      <c r="I84" s="363"/>
      <c r="J84" s="363"/>
      <c r="K84" s="360"/>
    </row>
    <row r="85" spans="1:11" s="361" customFormat="1" ht="11.4">
      <c r="A85" s="145" t="s">
        <v>768</v>
      </c>
      <c r="B85" s="362">
        <f>'Sources and Uses Budget'!C85</f>
        <v>0</v>
      </c>
      <c r="C85" s="363"/>
      <c r="D85" s="363"/>
      <c r="E85" s="362">
        <f>'Sources and Uses Budget'!S85</f>
        <v>0</v>
      </c>
      <c r="F85" s="363"/>
      <c r="G85" s="363"/>
      <c r="H85" s="362">
        <f>'Sources and Uses Budget'!T85</f>
        <v>0</v>
      </c>
      <c r="I85" s="363"/>
      <c r="J85" s="363"/>
      <c r="K85" s="360"/>
    </row>
    <row r="86" spans="1:11" s="361" customFormat="1" ht="11.4">
      <c r="A86" s="145" t="s">
        <v>769</v>
      </c>
      <c r="B86" s="362">
        <f>'Sources and Uses Budget'!C86</f>
        <v>101975</v>
      </c>
      <c r="C86" s="363">
        <v>101975</v>
      </c>
      <c r="D86" s="363"/>
      <c r="E86" s="362">
        <f>'Sources and Uses Budget'!S86</f>
        <v>101975</v>
      </c>
      <c r="F86" s="363">
        <v>101975</v>
      </c>
      <c r="G86" s="363"/>
      <c r="H86" s="362">
        <f>'Sources and Uses Budget'!T86</f>
        <v>0</v>
      </c>
      <c r="I86" s="363"/>
      <c r="J86" s="363"/>
      <c r="K86" s="360"/>
    </row>
    <row r="87" spans="1:11" s="361" customFormat="1" ht="11.4">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ht="11.4">
      <c r="A88" s="145" t="s">
        <v>771</v>
      </c>
      <c r="B88" s="362">
        <f>'Sources and Uses Budget'!C88</f>
        <v>25000</v>
      </c>
      <c r="C88" s="363">
        <v>25000</v>
      </c>
      <c r="D88" s="363"/>
      <c r="E88" s="364"/>
      <c r="F88" s="364"/>
      <c r="G88" s="364"/>
      <c r="H88" s="364"/>
      <c r="I88" s="364"/>
      <c r="J88" s="364"/>
      <c r="K88" s="360"/>
    </row>
    <row r="89" spans="1:11" s="361" customFormat="1" ht="11.4">
      <c r="A89" s="145" t="s">
        <v>772</v>
      </c>
      <c r="B89" s="362">
        <f>'Sources and Uses Budget'!C89</f>
        <v>300000</v>
      </c>
      <c r="C89" s="363">
        <v>300000</v>
      </c>
      <c r="D89" s="363"/>
      <c r="E89" s="362">
        <f>'Sources and Uses Budget'!S89</f>
        <v>300000</v>
      </c>
      <c r="F89" s="363">
        <v>300000</v>
      </c>
      <c r="G89" s="363"/>
      <c r="H89" s="362">
        <f>'Sources and Uses Budget'!T89</f>
        <v>0</v>
      </c>
      <c r="I89" s="363"/>
      <c r="J89" s="363"/>
      <c r="K89" s="360"/>
    </row>
    <row r="90" spans="1:11" s="361" customFormat="1" ht="11.4">
      <c r="A90" s="145" t="s">
        <v>773</v>
      </c>
      <c r="B90" s="362">
        <f>'Sources and Uses Budget'!C90</f>
        <v>5500</v>
      </c>
      <c r="C90" s="363">
        <v>5500</v>
      </c>
      <c r="D90" s="363"/>
      <c r="E90" s="362">
        <f>'Sources and Uses Budget'!S90</f>
        <v>0</v>
      </c>
      <c r="F90" s="363"/>
      <c r="G90" s="363"/>
      <c r="H90" s="362">
        <f>'Sources and Uses Budget'!T90</f>
        <v>0</v>
      </c>
      <c r="I90" s="363"/>
      <c r="J90" s="363"/>
      <c r="K90" s="360"/>
    </row>
    <row r="91" spans="1:11" s="361" customFormat="1" ht="11.4">
      <c r="A91" s="155" t="s">
        <v>371</v>
      </c>
      <c r="B91" s="362">
        <f>'Sources and Uses Budget'!C91</f>
        <v>30000</v>
      </c>
      <c r="C91" s="363">
        <v>30000</v>
      </c>
      <c r="D91" s="363"/>
      <c r="E91" s="362">
        <f>'Sources and Uses Budget'!S91</f>
        <v>0</v>
      </c>
      <c r="F91" s="363"/>
      <c r="G91" s="363"/>
      <c r="H91" s="362">
        <f>'Sources and Uses Budget'!T91</f>
        <v>0</v>
      </c>
      <c r="I91" s="363"/>
      <c r="J91" s="363"/>
      <c r="K91" s="360"/>
    </row>
    <row r="92" spans="1:11" s="361" customFormat="1" ht="11.4">
      <c r="A92" s="509" t="s">
        <v>1211</v>
      </c>
      <c r="B92" s="362">
        <f>'Sources and Uses Budget'!C92</f>
        <v>11000</v>
      </c>
      <c r="C92" s="363">
        <v>11000</v>
      </c>
      <c r="D92" s="363"/>
      <c r="E92" s="362">
        <f>'Sources and Uses Budget'!S92</f>
        <v>0</v>
      </c>
      <c r="F92" s="363"/>
      <c r="G92" s="363"/>
      <c r="H92" s="362">
        <f>'Sources and Uses Budget'!T92</f>
        <v>7180</v>
      </c>
      <c r="I92" s="363">
        <v>7180</v>
      </c>
      <c r="J92" s="363"/>
      <c r="K92" s="360"/>
    </row>
    <row r="93" spans="1:11" s="361" customFormat="1" ht="11.4">
      <c r="A93" s="365" t="str">
        <f>'Sources and Uses Budget'!$A93</f>
        <v>Other: (Labor/Wage Monitoring)</v>
      </c>
      <c r="B93" s="362">
        <f>'Sources and Uses Budget'!C93</f>
        <v>40000</v>
      </c>
      <c r="C93" s="363">
        <v>40000</v>
      </c>
      <c r="D93" s="363"/>
      <c r="E93" s="362">
        <f>'Sources and Uses Budget'!S93</f>
        <v>40000</v>
      </c>
      <c r="F93" s="363">
        <v>40000</v>
      </c>
      <c r="G93" s="363"/>
      <c r="H93" s="362">
        <f>'Sources and Uses Budget'!T93</f>
        <v>0</v>
      </c>
      <c r="I93" s="363">
        <v>0</v>
      </c>
      <c r="J93" s="363"/>
      <c r="K93" s="360"/>
    </row>
    <row r="94" spans="1:11" s="361" customFormat="1" ht="11.4">
      <c r="A94" s="365" t="str">
        <f>'Sources and Uses Budget'!$A94</f>
        <v>Other: (Document Transfer Tax)</v>
      </c>
      <c r="B94" s="362">
        <f>'Sources and Uses Budget'!C94</f>
        <v>91850</v>
      </c>
      <c r="C94" s="363">
        <v>91850</v>
      </c>
      <c r="D94" s="363"/>
      <c r="E94" s="362">
        <f>'Sources and Uses Budget'!S94</f>
        <v>0</v>
      </c>
      <c r="F94" s="363"/>
      <c r="G94" s="363"/>
      <c r="H94" s="362">
        <f>'Sources and Uses Budget'!T94</f>
        <v>59950</v>
      </c>
      <c r="I94" s="363">
        <v>59950</v>
      </c>
      <c r="J94" s="363"/>
      <c r="K94" s="360"/>
    </row>
    <row r="95" spans="1:11" s="361" customFormat="1" ht="22.8">
      <c r="A95" s="365" t="str">
        <f>'Sources and Uses Budget'!$A95</f>
        <v>Other: (Accrued Interest - Seller and LAHD Loan))</v>
      </c>
      <c r="B95" s="362">
        <f>'Sources and Uses Budget'!C95</f>
        <v>1279384</v>
      </c>
      <c r="C95" s="363">
        <v>1279384</v>
      </c>
      <c r="D95" s="363"/>
      <c r="E95" s="362">
        <f>'Sources and Uses Budget'!S95</f>
        <v>0</v>
      </c>
      <c r="F95" s="363"/>
      <c r="G95" s="363"/>
      <c r="H95" s="362">
        <f>'Sources and Uses Budget'!T95</f>
        <v>786008</v>
      </c>
      <c r="I95" s="363">
        <v>786008</v>
      </c>
      <c r="J95" s="363"/>
      <c r="K95" s="360"/>
    </row>
    <row r="96" spans="1:11" s="361" customFormat="1">
      <c r="A96" s="366" t="s">
        <v>774</v>
      </c>
      <c r="B96" s="362">
        <f>'Sources and Uses Budget'!C96</f>
        <v>1947253</v>
      </c>
      <c r="C96" s="362">
        <f>SUM(C83:C95)</f>
        <v>1947253</v>
      </c>
      <c r="D96" s="362">
        <f>SUM(D83:D95)</f>
        <v>0</v>
      </c>
      <c r="E96" s="362">
        <f>'Sources and Uses Budget'!S96</f>
        <v>441975</v>
      </c>
      <c r="F96" s="368">
        <f>SUM(F84:F87,F89:F95)</f>
        <v>441975</v>
      </c>
      <c r="G96" s="368">
        <f>SUM(G84:G87,G89:G95)</f>
        <v>0</v>
      </c>
      <c r="H96" s="362">
        <f>'Sources and Uses Budget'!T96</f>
        <v>853138</v>
      </c>
      <c r="I96" s="362">
        <f>SUM(I84:I87,I89:I95)</f>
        <v>853138</v>
      </c>
      <c r="J96" s="362">
        <f>SUM(J84:J87,J89:J95)</f>
        <v>0</v>
      </c>
      <c r="K96" s="360"/>
    </row>
    <row r="97" spans="1:11" s="361" customFormat="1">
      <c r="A97" s="366" t="s">
        <v>1029</v>
      </c>
      <c r="B97" s="362">
        <f>'Sources and Uses Budget'!C97</f>
        <v>38783341</v>
      </c>
      <c r="C97" s="362">
        <f>SUM(C63+C70+C77+C81+C96)</f>
        <v>38783341</v>
      </c>
      <c r="D97" s="362">
        <f>SUM(D63+D70+D77+D81+D96)</f>
        <v>0</v>
      </c>
      <c r="E97" s="362">
        <f>'Sources and Uses Budget'!S97</f>
        <v>18123535.5</v>
      </c>
      <c r="F97" s="368">
        <f>SUM(+F63+F70+F81+F96)</f>
        <v>18123535.5</v>
      </c>
      <c r="G97" s="368">
        <f>SUM(+G63+G70+G81+G96)</f>
        <v>0</v>
      </c>
      <c r="H97" s="362">
        <f>'Sources and Uses Budget'!T97</f>
        <v>11753138</v>
      </c>
      <c r="I97" s="368">
        <f>SUM(I63+I70+I81+I96)</f>
        <v>11753138</v>
      </c>
      <c r="J97" s="368">
        <f>SUM(J63+J70+J81+J96)</f>
        <v>0</v>
      </c>
      <c r="K97" s="360"/>
    </row>
    <row r="98" spans="1:11" s="361" customFormat="1" ht="11.4">
      <c r="A98" s="358" t="s">
        <v>776</v>
      </c>
      <c r="B98" s="359"/>
      <c r="C98" s="359"/>
      <c r="D98" s="359"/>
      <c r="E98" s="359"/>
      <c r="F98" s="359"/>
      <c r="G98" s="359"/>
      <c r="H98" s="359"/>
      <c r="I98" s="359"/>
      <c r="J98" s="359"/>
      <c r="K98" s="360"/>
    </row>
    <row r="99" spans="1:11" s="361" customFormat="1" ht="11.4">
      <c r="A99" s="145" t="s">
        <v>777</v>
      </c>
      <c r="B99" s="362">
        <f>'Sources and Uses Budget'!C99</f>
        <v>4481500</v>
      </c>
      <c r="C99" s="363">
        <v>4481500</v>
      </c>
      <c r="D99" s="363"/>
      <c r="E99" s="362">
        <f>'Sources and Uses Budget'!S99</f>
        <v>2718530</v>
      </c>
      <c r="F99" s="363">
        <v>2718530</v>
      </c>
      <c r="G99" s="363"/>
      <c r="H99" s="362">
        <f>'Sources and Uses Budget'!T99</f>
        <v>1762970</v>
      </c>
      <c r="I99" s="363">
        <v>1762970</v>
      </c>
      <c r="J99" s="363"/>
      <c r="K99" s="360"/>
    </row>
    <row r="100" spans="1:11" s="361" customFormat="1" ht="11.4">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4481500</v>
      </c>
      <c r="C104" s="362">
        <f>SUM(C99:C103)</f>
        <v>4481500</v>
      </c>
      <c r="D104" s="362">
        <f>SUM(D99:D103)</f>
        <v>0</v>
      </c>
      <c r="E104" s="362">
        <f>'Sources and Uses Budget'!S104</f>
        <v>2718530</v>
      </c>
      <c r="F104" s="368">
        <f>SUM(F99:F103)</f>
        <v>2718530</v>
      </c>
      <c r="G104" s="368">
        <f>SUM(G99:G103)</f>
        <v>0</v>
      </c>
      <c r="H104" s="362">
        <f>'Sources and Uses Budget'!T104</f>
        <v>1762970</v>
      </c>
      <c r="I104" s="368">
        <f>SUM(I99:I103)</f>
        <v>1762970</v>
      </c>
      <c r="J104" s="368">
        <f>SUM(J99:J103)</f>
        <v>0</v>
      </c>
      <c r="K104" s="360"/>
    </row>
    <row r="105" spans="1:11" s="361" customFormat="1">
      <c r="A105" s="366" t="s">
        <v>1030</v>
      </c>
      <c r="B105" s="362">
        <f>'Sources and Uses Budget'!C105</f>
        <v>43264841</v>
      </c>
      <c r="C105" s="368">
        <f>SUM(C97+C104)</f>
        <v>43264841</v>
      </c>
      <c r="D105" s="368">
        <f>SUM(D97+D104)</f>
        <v>0</v>
      </c>
      <c r="E105" s="362">
        <f>'Sources and Uses Budget'!S105</f>
        <v>20842065.5</v>
      </c>
      <c r="F105" s="368">
        <f>F97+F104</f>
        <v>20842065.5</v>
      </c>
      <c r="G105" s="368">
        <f>G97+G104</f>
        <v>0</v>
      </c>
      <c r="H105" s="362">
        <f>'Sources and Uses Budget'!T105</f>
        <v>13516108</v>
      </c>
      <c r="I105" s="368">
        <f>I97+I104</f>
        <v>13516108</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20842065.5</v>
      </c>
      <c r="F107" s="368">
        <f>F105+F106</f>
        <v>20842065.5</v>
      </c>
      <c r="G107" s="368">
        <f>G105+G106</f>
        <v>0</v>
      </c>
      <c r="H107" s="362">
        <f>'Sources and Uses Budget'!T107</f>
        <v>13516108</v>
      </c>
      <c r="I107" s="368">
        <f>I105+I106</f>
        <v>13516108</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929"/>
      <c r="E124" s="1311"/>
      <c r="F124" s="1311"/>
      <c r="G124" s="1311"/>
      <c r="H124" s="1311"/>
      <c r="I124" s="1311"/>
      <c r="J124" s="377"/>
      <c r="K124" s="360"/>
    </row>
    <row r="125" spans="1:11" s="361" customFormat="1" ht="13.2">
      <c r="A125" s="386"/>
      <c r="B125" s="385"/>
      <c r="C125" s="386"/>
      <c r="D125" s="1311"/>
      <c r="E125" s="1311"/>
      <c r="F125" s="1311"/>
      <c r="G125" s="1311"/>
      <c r="H125" s="1311"/>
      <c r="I125" s="1311"/>
      <c r="J125" s="377"/>
      <c r="K125" s="360"/>
    </row>
    <row r="126" spans="1:11" s="361" customFormat="1" ht="13.2">
      <c r="A126" s="386"/>
      <c r="B126" s="385"/>
      <c r="C126" s="386"/>
      <c r="D126" s="1311"/>
      <c r="E126" s="1311"/>
      <c r="F126" s="1311"/>
      <c r="G126" s="1311"/>
      <c r="H126" s="1311"/>
      <c r="I126" s="1311"/>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930"/>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O1" sqref="AO1:XFD1048576"/>
    </sheetView>
  </sheetViews>
  <sheetFormatPr defaultColWidth="0" defaultRowHeight="13.2" zeroHeight="1"/>
  <cols>
    <col min="1" max="1" width="2.77734375" style="14" customWidth="1"/>
    <col min="2" max="3" width="2.44140625" style="14" customWidth="1"/>
    <col min="4" max="4" width="3.218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5" customWidth="1"/>
    <col min="41" max="41" width="5.5546875" style="30" hidden="1" customWidth="1"/>
    <col min="42" max="45" width="5.5546875" style="14" hidden="1" customWidth="1"/>
    <col min="46" max="46" width="10.77734375" style="14" hidden="1" customWidth="1"/>
    <col min="47" max="48" width="5.5546875" style="14" hidden="1" customWidth="1"/>
    <col min="49" max="49" width="8.777343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21875" style="14" hidden="1"/>
  </cols>
  <sheetData>
    <row r="1" spans="1:42" ht="15.75" customHeight="1">
      <c r="A1" s="2164" t="s">
        <v>1300</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row>
    <row r="2" spans="1:42" s="537" customFormat="1" ht="12.75" customHeight="1" thickBot="1">
      <c r="A2" s="2165"/>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005" t="s">
        <v>1305</v>
      </c>
      <c r="AF7" s="2005"/>
      <c r="AG7" s="2005"/>
      <c r="AH7" s="2005"/>
      <c r="AI7" s="2005"/>
      <c r="AJ7" s="2005"/>
      <c r="AK7" s="2005"/>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158" t="s">
        <v>591</v>
      </c>
      <c r="C13" s="2158"/>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166"/>
      <c r="AH13" s="2166"/>
      <c r="AI13" s="2166"/>
      <c r="AJ13" s="2167"/>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158" t="s">
        <v>591</v>
      </c>
      <c r="C16" s="2158"/>
      <c r="D16" s="548"/>
      <c r="E16" s="2150" t="s">
        <v>1307</v>
      </c>
      <c r="F16" s="2151"/>
      <c r="G16" s="2151"/>
      <c r="H16" s="2151"/>
      <c r="I16" s="2151"/>
      <c r="J16" s="2151"/>
      <c r="K16" s="2151"/>
      <c r="L16" s="2151"/>
      <c r="M16" s="2151"/>
      <c r="N16" s="2151"/>
      <c r="O16" s="2151"/>
      <c r="P16" s="2151"/>
      <c r="Q16" s="2151"/>
      <c r="R16" s="2151"/>
      <c r="S16" s="2151"/>
      <c r="T16" s="2151"/>
      <c r="U16" s="2151"/>
      <c r="V16" s="2151"/>
      <c r="W16" s="2151"/>
      <c r="X16" s="2151"/>
      <c r="Y16" s="2151"/>
      <c r="Z16" s="2151"/>
      <c r="AA16" s="2151"/>
      <c r="AB16" s="2151"/>
      <c r="AC16" s="2151"/>
      <c r="AD16" s="2151"/>
      <c r="AE16" s="2151"/>
      <c r="AF16" s="2151"/>
      <c r="AG16" s="2151"/>
      <c r="AH16" s="2151"/>
      <c r="AI16" s="2151"/>
      <c r="AJ16" s="2152"/>
      <c r="AK16" s="541"/>
      <c r="AL16" s="541"/>
      <c r="AM16" s="541"/>
      <c r="AN16" s="536"/>
      <c r="AO16" s="551">
        <f>IF($B25="yes",20,0)</f>
        <v>0</v>
      </c>
      <c r="AP16" s="14"/>
    </row>
    <row r="17" spans="1:42" s="537" customFormat="1" ht="12.75" customHeight="1">
      <c r="A17" s="541"/>
      <c r="B17" s="541"/>
      <c r="C17" s="541"/>
      <c r="D17" s="552"/>
      <c r="E17" s="2153"/>
      <c r="F17" s="2154"/>
      <c r="G17" s="2154"/>
      <c r="H17" s="2154"/>
      <c r="I17" s="2154"/>
      <c r="J17" s="2154"/>
      <c r="K17" s="2154"/>
      <c r="L17" s="2154"/>
      <c r="M17" s="2154"/>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5"/>
      <c r="AK17" s="541"/>
      <c r="AL17" s="541"/>
      <c r="AM17" s="541"/>
      <c r="AN17" s="536"/>
      <c r="AO17" s="551">
        <f>IF($B28="yes",20,0)</f>
        <v>0</v>
      </c>
    </row>
    <row r="18" spans="1:42" s="537" customFormat="1" ht="12.75" customHeight="1">
      <c r="A18" s="541"/>
      <c r="B18" s="541"/>
      <c r="C18" s="541"/>
      <c r="D18" s="552"/>
      <c r="E18" s="2153"/>
      <c r="F18" s="2154"/>
      <c r="G18" s="2154"/>
      <c r="H18" s="2154"/>
      <c r="I18" s="2154"/>
      <c r="J18" s="2154"/>
      <c r="K18" s="2154"/>
      <c r="L18" s="2154"/>
      <c r="M18" s="2154"/>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5"/>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174"/>
      <c r="F20" s="2175"/>
      <c r="G20" s="2175"/>
      <c r="H20" s="2175"/>
      <c r="I20" s="2175"/>
      <c r="J20" s="2175"/>
      <c r="K20" s="2175"/>
      <c r="L20" s="2175"/>
      <c r="M20" s="2175"/>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6"/>
      <c r="AK20" s="541"/>
      <c r="AL20" s="541"/>
      <c r="AM20" s="541"/>
      <c r="AN20" s="536"/>
      <c r="AO20" s="551">
        <f>IF($B33="yes",14,0)</f>
        <v>14</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158" t="s">
        <v>591</v>
      </c>
      <c r="C22" s="2158"/>
      <c r="D22" s="548"/>
      <c r="E22" s="2168" t="s">
        <v>1310</v>
      </c>
      <c r="F22" s="2169"/>
      <c r="G22" s="2169"/>
      <c r="H22" s="2169"/>
      <c r="I22" s="2169"/>
      <c r="J22" s="2169"/>
      <c r="K22" s="2169"/>
      <c r="L22" s="2169"/>
      <c r="M22" s="2169"/>
      <c r="N22" s="2169"/>
      <c r="O22" s="2169"/>
      <c r="P22" s="2169"/>
      <c r="Q22" s="2169"/>
      <c r="R22" s="2169"/>
      <c r="S22" s="2169"/>
      <c r="T22" s="2169"/>
      <c r="U22" s="2169"/>
      <c r="V22" s="2169"/>
      <c r="W22" s="2169"/>
      <c r="X22" s="2169"/>
      <c r="Y22" s="2169"/>
      <c r="Z22" s="2169"/>
      <c r="AA22" s="2169"/>
      <c r="AB22" s="2169"/>
      <c r="AC22" s="2169"/>
      <c r="AD22" s="2169"/>
      <c r="AE22" s="2169"/>
      <c r="AF22" s="2169"/>
      <c r="AG22" s="2169"/>
      <c r="AH22" s="2169"/>
      <c r="AI22" s="2169"/>
      <c r="AJ22" s="2170"/>
      <c r="AK22" s="541"/>
      <c r="AL22" s="541"/>
      <c r="AM22" s="541"/>
      <c r="AN22" s="536"/>
      <c r="AO22" s="551">
        <f>IF($B40="yes",14,0)</f>
        <v>0</v>
      </c>
    </row>
    <row r="23" spans="1:42" s="537" customFormat="1" ht="12.75" customHeight="1">
      <c r="A23" s="541"/>
      <c r="B23" s="541"/>
      <c r="C23" s="541"/>
      <c r="D23" s="551"/>
      <c r="E23" s="2171"/>
      <c r="F23" s="2172"/>
      <c r="G23" s="2172"/>
      <c r="H23" s="2172"/>
      <c r="I23" s="2172"/>
      <c r="J23" s="2172"/>
      <c r="K23" s="2172"/>
      <c r="L23" s="2172"/>
      <c r="M23" s="2172"/>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3"/>
      <c r="AK23" s="541"/>
      <c r="AL23" s="541"/>
      <c r="AM23" s="541"/>
      <c r="AN23" s="536"/>
      <c r="AO23" s="537">
        <f>IF(SUM(AO20:AO22)&gt;14,14,SUM(AO20:AO22))</f>
        <v>14</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158" t="s">
        <v>591</v>
      </c>
      <c r="C25" s="2158"/>
      <c r="D25" s="548"/>
      <c r="E25" s="2085" t="s">
        <v>2035</v>
      </c>
      <c r="F25" s="2086"/>
      <c r="G25" s="2086"/>
      <c r="H25" s="2086"/>
      <c r="I25" s="2086"/>
      <c r="J25" s="2086"/>
      <c r="K25" s="2086"/>
      <c r="L25" s="2086"/>
      <c r="M25" s="2086"/>
      <c r="N25" s="2086"/>
      <c r="O25" s="2086"/>
      <c r="P25" s="2086"/>
      <c r="Q25" s="2086"/>
      <c r="R25" s="2086"/>
      <c r="S25" s="2086"/>
      <c r="T25" s="2086"/>
      <c r="U25" s="2086"/>
      <c r="V25" s="2086"/>
      <c r="W25" s="2086"/>
      <c r="X25" s="2086"/>
      <c r="Y25" s="2086"/>
      <c r="Z25" s="2086"/>
      <c r="AA25" s="2086"/>
      <c r="AB25" s="2086"/>
      <c r="AC25" s="2086"/>
      <c r="AD25" s="2086"/>
      <c r="AE25" s="2086"/>
      <c r="AF25" s="2086"/>
      <c r="AG25" s="2086"/>
      <c r="AH25" s="2086"/>
      <c r="AI25" s="2086"/>
      <c r="AJ25" s="2087"/>
      <c r="AK25" s="541"/>
      <c r="AL25" s="541"/>
      <c r="AM25" s="541"/>
      <c r="AN25" s="536"/>
      <c r="AO25" s="551">
        <f>IF($B45="yes",6,0)</f>
        <v>0</v>
      </c>
    </row>
    <row r="26" spans="1:42" s="537" customFormat="1" ht="12.75" customHeight="1">
      <c r="A26" s="541"/>
      <c r="B26" s="541"/>
      <c r="C26" s="541"/>
      <c r="D26" s="551"/>
      <c r="E26" s="2110"/>
      <c r="F26" s="2111"/>
      <c r="G26" s="2111"/>
      <c r="H26" s="2111"/>
      <c r="I26" s="2111"/>
      <c r="J26" s="2111"/>
      <c r="K26" s="2111"/>
      <c r="L26" s="2111"/>
      <c r="M26" s="2111"/>
      <c r="N26" s="2111"/>
      <c r="O26" s="2111"/>
      <c r="P26" s="2111"/>
      <c r="Q26" s="2111"/>
      <c r="R26" s="2111"/>
      <c r="S26" s="2111"/>
      <c r="T26" s="2111"/>
      <c r="U26" s="2111"/>
      <c r="V26" s="2111"/>
      <c r="W26" s="2111"/>
      <c r="X26" s="2111"/>
      <c r="Y26" s="2111"/>
      <c r="Z26" s="2111"/>
      <c r="AA26" s="2111"/>
      <c r="AB26" s="2111"/>
      <c r="AC26" s="2111"/>
      <c r="AD26" s="2111"/>
      <c r="AE26" s="2111"/>
      <c r="AF26" s="2111"/>
      <c r="AG26" s="2111"/>
      <c r="AH26" s="2111"/>
      <c r="AI26" s="2111"/>
      <c r="AJ26" s="2112"/>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158" t="s">
        <v>591</v>
      </c>
      <c r="C28" s="2158"/>
      <c r="D28" s="548"/>
      <c r="E28" s="2187" t="s">
        <v>2252</v>
      </c>
      <c r="F28" s="2188"/>
      <c r="G28" s="2188"/>
      <c r="H28" s="2188"/>
      <c r="I28" s="2188"/>
      <c r="J28" s="2188"/>
      <c r="K28" s="2188"/>
      <c r="L28" s="2188"/>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9"/>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158" t="s">
        <v>545</v>
      </c>
      <c r="C33" s="2158"/>
      <c r="D33" s="548"/>
      <c r="E33" s="2168" t="s">
        <v>2254</v>
      </c>
      <c r="F33" s="2169"/>
      <c r="G33" s="2169"/>
      <c r="H33" s="2169"/>
      <c r="I33" s="2169"/>
      <c r="J33" s="2169"/>
      <c r="K33" s="2169"/>
      <c r="L33" s="2169"/>
      <c r="M33" s="2169"/>
      <c r="N33" s="2169"/>
      <c r="O33" s="2169"/>
      <c r="P33" s="2169"/>
      <c r="Q33" s="2169"/>
      <c r="R33" s="2169"/>
      <c r="S33" s="2169"/>
      <c r="T33" s="2169"/>
      <c r="U33" s="2169"/>
      <c r="V33" s="2169"/>
      <c r="W33" s="2169"/>
      <c r="X33" s="2169"/>
      <c r="Y33" s="2169"/>
      <c r="Z33" s="2169"/>
      <c r="AA33" s="2169"/>
      <c r="AB33" s="2169"/>
      <c r="AC33" s="2169"/>
      <c r="AD33" s="2169"/>
      <c r="AE33" s="2169"/>
      <c r="AF33" s="2169"/>
      <c r="AG33" s="2169"/>
      <c r="AH33" s="2169"/>
      <c r="AI33" s="2169"/>
      <c r="AJ33" s="2170"/>
      <c r="AK33" s="541"/>
      <c r="AL33" s="541"/>
      <c r="AM33" s="541"/>
      <c r="AN33" s="536"/>
      <c r="AO33" s="551"/>
    </row>
    <row r="34" spans="1:41" s="537" customFormat="1" ht="12.75" customHeight="1">
      <c r="A34" s="541"/>
      <c r="B34" s="541"/>
      <c r="C34" s="541"/>
      <c r="E34" s="2171"/>
      <c r="F34" s="2172"/>
      <c r="G34" s="2172"/>
      <c r="H34" s="2172"/>
      <c r="I34" s="2172"/>
      <c r="J34" s="2172"/>
      <c r="K34" s="2172"/>
      <c r="L34" s="2172"/>
      <c r="M34" s="2172"/>
      <c r="N34" s="2172"/>
      <c r="O34" s="2172"/>
      <c r="P34" s="2172"/>
      <c r="Q34" s="2172"/>
      <c r="R34" s="2172"/>
      <c r="S34" s="2172"/>
      <c r="T34" s="2172"/>
      <c r="U34" s="2172"/>
      <c r="V34" s="2172"/>
      <c r="W34" s="2172"/>
      <c r="X34" s="2172"/>
      <c r="Y34" s="2172"/>
      <c r="Z34" s="2172"/>
      <c r="AA34" s="2172"/>
      <c r="AB34" s="2172"/>
      <c r="AC34" s="2172"/>
      <c r="AD34" s="2172"/>
      <c r="AE34" s="2172"/>
      <c r="AF34" s="2172"/>
      <c r="AG34" s="2172"/>
      <c r="AH34" s="2172"/>
      <c r="AI34" s="2172"/>
      <c r="AJ34" s="2173"/>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158" t="s">
        <v>591</v>
      </c>
      <c r="C36" s="2158"/>
      <c r="D36" s="548"/>
      <c r="E36" s="2085" t="s">
        <v>2255</v>
      </c>
      <c r="F36" s="2086"/>
      <c r="G36" s="2086"/>
      <c r="H36" s="2086"/>
      <c r="I36" s="2086"/>
      <c r="J36" s="2086"/>
      <c r="K36" s="2086"/>
      <c r="L36" s="2086"/>
      <c r="M36" s="2086"/>
      <c r="N36" s="2086"/>
      <c r="O36" s="2086"/>
      <c r="P36" s="2086"/>
      <c r="Q36" s="2086"/>
      <c r="R36" s="2086"/>
      <c r="S36" s="2086"/>
      <c r="T36" s="2086"/>
      <c r="U36" s="2086"/>
      <c r="V36" s="2086"/>
      <c r="W36" s="2086"/>
      <c r="X36" s="2086"/>
      <c r="Y36" s="2086"/>
      <c r="Z36" s="2086"/>
      <c r="AA36" s="2086"/>
      <c r="AB36" s="2086"/>
      <c r="AC36" s="2086"/>
      <c r="AD36" s="2086"/>
      <c r="AE36" s="2086"/>
      <c r="AF36" s="2086"/>
      <c r="AG36" s="2086"/>
      <c r="AH36" s="2086"/>
      <c r="AI36" s="2086"/>
      <c r="AJ36" s="2087"/>
      <c r="AK36" s="541"/>
      <c r="AL36" s="541"/>
      <c r="AM36" s="541"/>
      <c r="AN36" s="536"/>
    </row>
    <row r="37" spans="1:41" s="537" customFormat="1" ht="12.75" customHeight="1">
      <c r="A37" s="541"/>
      <c r="B37" s="541"/>
      <c r="C37" s="541"/>
      <c r="E37" s="2088"/>
      <c r="F37" s="2089"/>
      <c r="G37" s="2089"/>
      <c r="H37" s="2089"/>
      <c r="I37" s="2089"/>
      <c r="J37" s="2089"/>
      <c r="K37" s="2089"/>
      <c r="L37" s="2089"/>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90"/>
      <c r="AK37" s="541"/>
      <c r="AL37" s="541"/>
      <c r="AM37" s="541"/>
      <c r="AN37" s="536"/>
    </row>
    <row r="38" spans="1:41" s="537" customFormat="1" ht="12.75" customHeight="1">
      <c r="A38" s="541"/>
      <c r="B38" s="541"/>
      <c r="C38" s="541"/>
      <c r="E38" s="2110"/>
      <c r="F38" s="2111"/>
      <c r="G38" s="2111"/>
      <c r="H38" s="2111"/>
      <c r="I38" s="2111"/>
      <c r="J38" s="2111"/>
      <c r="K38" s="2111"/>
      <c r="L38" s="2111"/>
      <c r="M38" s="2111"/>
      <c r="N38" s="2111"/>
      <c r="O38" s="2111"/>
      <c r="P38" s="2111"/>
      <c r="Q38" s="2111"/>
      <c r="R38" s="2111"/>
      <c r="S38" s="2111"/>
      <c r="T38" s="2111"/>
      <c r="U38" s="2111"/>
      <c r="V38" s="2111"/>
      <c r="W38" s="2111"/>
      <c r="X38" s="2111"/>
      <c r="Y38" s="2111"/>
      <c r="Z38" s="2111"/>
      <c r="AA38" s="2111"/>
      <c r="AB38" s="2111"/>
      <c r="AC38" s="2111"/>
      <c r="AD38" s="2111"/>
      <c r="AE38" s="2111"/>
      <c r="AF38" s="2111"/>
      <c r="AG38" s="2111"/>
      <c r="AH38" s="2111"/>
      <c r="AI38" s="2111"/>
      <c r="AJ38" s="2112"/>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14</v>
      </c>
    </row>
    <row r="40" spans="1:41" s="537" customFormat="1" ht="12.75" customHeight="1">
      <c r="A40" s="541"/>
      <c r="B40" s="2158" t="s">
        <v>591</v>
      </c>
      <c r="C40" s="2158"/>
      <c r="D40" s="548"/>
      <c r="E40" s="2085" t="s">
        <v>2253</v>
      </c>
      <c r="F40" s="2086"/>
      <c r="G40" s="2086"/>
      <c r="H40" s="2086"/>
      <c r="I40" s="2086"/>
      <c r="J40" s="2086"/>
      <c r="K40" s="2086"/>
      <c r="L40" s="2086"/>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6"/>
      <c r="AJ40" s="2087"/>
      <c r="AK40" s="541"/>
      <c r="AL40" s="541"/>
      <c r="AM40" s="541"/>
      <c r="AN40" s="536"/>
    </row>
    <row r="41" spans="1:41" s="537" customFormat="1" ht="12.75" customHeight="1">
      <c r="A41" s="541"/>
      <c r="B41" s="541"/>
      <c r="C41" s="541"/>
      <c r="E41" s="2110"/>
      <c r="F41" s="2111"/>
      <c r="G41" s="2111"/>
      <c r="H41" s="2111"/>
      <c r="I41" s="2111"/>
      <c r="J41" s="2111"/>
      <c r="K41" s="2111"/>
      <c r="L41" s="2111"/>
      <c r="M41" s="2111"/>
      <c r="N41" s="2111"/>
      <c r="O41" s="2111"/>
      <c r="P41" s="2111"/>
      <c r="Q41" s="2111"/>
      <c r="R41" s="2111"/>
      <c r="S41" s="2111"/>
      <c r="T41" s="2111"/>
      <c r="U41" s="2111"/>
      <c r="V41" s="2111"/>
      <c r="W41" s="2111"/>
      <c r="X41" s="2111"/>
      <c r="Y41" s="2111"/>
      <c r="Z41" s="2111"/>
      <c r="AA41" s="2111"/>
      <c r="AB41" s="2111"/>
      <c r="AC41" s="2111"/>
      <c r="AD41" s="2111"/>
      <c r="AE41" s="2111"/>
      <c r="AF41" s="2111"/>
      <c r="AG41" s="2111"/>
      <c r="AH41" s="2111"/>
      <c r="AI41" s="2111"/>
      <c r="AJ41" s="2112"/>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14</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158" t="s">
        <v>591</v>
      </c>
      <c r="C45" s="2158"/>
      <c r="D45" s="1144"/>
      <c r="E45" s="2085" t="s">
        <v>2010</v>
      </c>
      <c r="F45" s="2086"/>
      <c r="G45" s="2086"/>
      <c r="H45" s="2086"/>
      <c r="I45" s="2086"/>
      <c r="J45" s="2086"/>
      <c r="K45" s="2086"/>
      <c r="L45" s="2086"/>
      <c r="M45" s="2086"/>
      <c r="N45" s="2086"/>
      <c r="O45" s="2086"/>
      <c r="P45" s="2086"/>
      <c r="Q45" s="2086"/>
      <c r="R45" s="2086"/>
      <c r="S45" s="2086"/>
      <c r="T45" s="2086"/>
      <c r="U45" s="2086"/>
      <c r="V45" s="2086"/>
      <c r="W45" s="2086"/>
      <c r="X45" s="2086"/>
      <c r="Y45" s="2086"/>
      <c r="Z45" s="2086"/>
      <c r="AA45" s="2086"/>
      <c r="AB45" s="2086"/>
      <c r="AC45" s="2086"/>
      <c r="AD45" s="2086"/>
      <c r="AE45" s="2086"/>
      <c r="AF45" s="2086"/>
      <c r="AG45" s="2086"/>
      <c r="AH45" s="2086"/>
      <c r="AI45" s="2086"/>
      <c r="AJ45" s="2087"/>
      <c r="AK45" s="1144"/>
      <c r="AL45" s="541"/>
      <c r="AM45" s="541"/>
      <c r="AN45" s="536"/>
    </row>
    <row r="46" spans="1:41" s="537" customFormat="1" ht="12.75" customHeight="1">
      <c r="A46" s="541"/>
      <c r="B46" s="541"/>
      <c r="C46" s="541"/>
      <c r="E46" s="2088"/>
      <c r="F46" s="2089"/>
      <c r="G46" s="2089"/>
      <c r="H46" s="2089"/>
      <c r="I46" s="2089"/>
      <c r="J46" s="2089"/>
      <c r="K46" s="2089"/>
      <c r="L46" s="2089"/>
      <c r="M46" s="2089"/>
      <c r="N46" s="2089"/>
      <c r="O46" s="2089"/>
      <c r="P46" s="2089"/>
      <c r="Q46" s="2089"/>
      <c r="R46" s="2089"/>
      <c r="S46" s="2089"/>
      <c r="T46" s="2089"/>
      <c r="U46" s="2089"/>
      <c r="V46" s="2089"/>
      <c r="W46" s="2089"/>
      <c r="X46" s="2089"/>
      <c r="Y46" s="2089"/>
      <c r="Z46" s="2089"/>
      <c r="AA46" s="2089"/>
      <c r="AB46" s="2089"/>
      <c r="AC46" s="2089"/>
      <c r="AD46" s="2089"/>
      <c r="AE46" s="2089"/>
      <c r="AF46" s="2089"/>
      <c r="AG46" s="2089"/>
      <c r="AH46" s="2089"/>
      <c r="AI46" s="2089"/>
      <c r="AJ46" s="2090"/>
      <c r="AK46" s="541"/>
      <c r="AL46" s="541"/>
      <c r="AM46" s="541"/>
      <c r="AN46" s="536"/>
    </row>
    <row r="47" spans="1:41" s="537" customFormat="1" ht="12.75" customHeight="1">
      <c r="A47" s="541"/>
      <c r="D47" s="548"/>
      <c r="E47" s="2110"/>
      <c r="F47" s="2111"/>
      <c r="G47" s="2111"/>
      <c r="H47" s="2111"/>
      <c r="I47" s="2111"/>
      <c r="J47" s="2111"/>
      <c r="K47" s="2111"/>
      <c r="L47" s="2111"/>
      <c r="M47" s="2111"/>
      <c r="N47" s="2111"/>
      <c r="O47" s="2111"/>
      <c r="P47" s="2111"/>
      <c r="Q47" s="2111"/>
      <c r="R47" s="2111"/>
      <c r="S47" s="2111"/>
      <c r="T47" s="2111"/>
      <c r="U47" s="2111"/>
      <c r="V47" s="2111"/>
      <c r="W47" s="2111"/>
      <c r="X47" s="2111"/>
      <c r="Y47" s="2111"/>
      <c r="Z47" s="2111"/>
      <c r="AA47" s="2111"/>
      <c r="AB47" s="2111"/>
      <c r="AC47" s="2111"/>
      <c r="AD47" s="2111"/>
      <c r="AE47" s="2111"/>
      <c r="AF47" s="2111"/>
      <c r="AG47" s="2111"/>
      <c r="AH47" s="2111"/>
      <c r="AI47" s="2111"/>
      <c r="AJ47" s="2112"/>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158" t="s">
        <v>591</v>
      </c>
      <c r="C52" s="2158"/>
      <c r="D52" s="541"/>
      <c r="E52" s="2085" t="s">
        <v>2015</v>
      </c>
      <c r="F52" s="2086"/>
      <c r="G52" s="2086"/>
      <c r="H52" s="2086"/>
      <c r="I52" s="2086"/>
      <c r="J52" s="2086"/>
      <c r="K52" s="2086"/>
      <c r="L52" s="2086"/>
      <c r="M52" s="2086"/>
      <c r="N52" s="2086"/>
      <c r="O52" s="2086"/>
      <c r="P52" s="2086"/>
      <c r="Q52" s="2086"/>
      <c r="R52" s="2086"/>
      <c r="S52" s="2086"/>
      <c r="T52" s="2086"/>
      <c r="U52" s="2086"/>
      <c r="V52" s="2086"/>
      <c r="W52" s="2086"/>
      <c r="X52" s="2086"/>
      <c r="Y52" s="2086"/>
      <c r="Z52" s="2086"/>
      <c r="AA52" s="2086"/>
      <c r="AB52" s="2086"/>
      <c r="AC52" s="2086"/>
      <c r="AD52" s="2086"/>
      <c r="AE52" s="2086"/>
      <c r="AF52" s="2086"/>
      <c r="AG52" s="2086"/>
      <c r="AH52" s="2086"/>
      <c r="AI52" s="2086"/>
      <c r="AJ52" s="2087"/>
      <c r="AK52" s="541"/>
      <c r="AL52" s="541"/>
      <c r="AM52" s="541"/>
      <c r="AN52" s="536"/>
      <c r="AO52" s="560"/>
    </row>
    <row r="53" spans="1:50" s="537" customFormat="1" ht="12.75" customHeight="1">
      <c r="A53" s="541"/>
      <c r="D53" s="548"/>
      <c r="E53" s="2088"/>
      <c r="F53" s="2089"/>
      <c r="G53" s="2089"/>
      <c r="H53" s="2089"/>
      <c r="I53" s="2089"/>
      <c r="J53" s="2089"/>
      <c r="K53" s="2089"/>
      <c r="L53" s="2089"/>
      <c r="M53" s="2089"/>
      <c r="N53" s="2089"/>
      <c r="O53" s="2089"/>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90"/>
      <c r="AK53" s="541"/>
      <c r="AL53" s="541"/>
      <c r="AM53" s="541"/>
      <c r="AN53" s="536"/>
      <c r="AO53" s="560"/>
    </row>
    <row r="54" spans="1:50" s="537" customFormat="1" ht="12.75" customHeight="1">
      <c r="A54" s="541"/>
      <c r="D54" s="541"/>
      <c r="E54" s="2110"/>
      <c r="F54" s="2111"/>
      <c r="G54" s="2111"/>
      <c r="H54" s="2111"/>
      <c r="I54" s="2111"/>
      <c r="J54" s="2111"/>
      <c r="K54" s="2111"/>
      <c r="L54" s="2111"/>
      <c r="M54" s="2111"/>
      <c r="N54" s="2111"/>
      <c r="O54" s="2111"/>
      <c r="P54" s="2111"/>
      <c r="Q54" s="2111"/>
      <c r="R54" s="2111"/>
      <c r="S54" s="2111"/>
      <c r="T54" s="2111"/>
      <c r="U54" s="2111"/>
      <c r="V54" s="2111"/>
      <c r="W54" s="2111"/>
      <c r="X54" s="2111"/>
      <c r="Y54" s="2111"/>
      <c r="Z54" s="2111"/>
      <c r="AA54" s="2111"/>
      <c r="AB54" s="2111"/>
      <c r="AC54" s="2111"/>
      <c r="AD54" s="2111"/>
      <c r="AE54" s="2111"/>
      <c r="AF54" s="2111"/>
      <c r="AG54" s="2111"/>
      <c r="AH54" s="2111"/>
      <c r="AI54" s="2111"/>
      <c r="AJ54" s="2112"/>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158" t="s">
        <v>591</v>
      </c>
      <c r="C56" s="2158"/>
      <c r="D56" s="541"/>
      <c r="E56" s="2184" t="s">
        <v>2016</v>
      </c>
      <c r="F56" s="2185"/>
      <c r="G56" s="2185"/>
      <c r="H56" s="2185"/>
      <c r="I56" s="2185"/>
      <c r="J56" s="2185"/>
      <c r="K56" s="2185"/>
      <c r="L56" s="2185"/>
      <c r="M56" s="2185"/>
      <c r="N56" s="2185"/>
      <c r="O56" s="2185"/>
      <c r="P56" s="2185"/>
      <c r="Q56" s="2185"/>
      <c r="R56" s="2185"/>
      <c r="S56" s="2185"/>
      <c r="T56" s="2185"/>
      <c r="U56" s="2185"/>
      <c r="V56" s="2185"/>
      <c r="W56" s="2185"/>
      <c r="X56" s="2185"/>
      <c r="Y56" s="2185"/>
      <c r="Z56" s="2185"/>
      <c r="AA56" s="2185"/>
      <c r="AB56" s="2185"/>
      <c r="AC56" s="2185"/>
      <c r="AD56" s="2185"/>
      <c r="AE56" s="2185"/>
      <c r="AF56" s="2185"/>
      <c r="AG56" s="2185"/>
      <c r="AH56" s="2185"/>
      <c r="AI56" s="2185"/>
      <c r="AJ56" s="2186"/>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158" t="s">
        <v>591</v>
      </c>
      <c r="C58" s="2158"/>
      <c r="D58" s="541"/>
      <c r="E58" s="2085" t="s">
        <v>2017</v>
      </c>
      <c r="F58" s="2086"/>
      <c r="G58" s="2086"/>
      <c r="H58" s="2086"/>
      <c r="I58" s="2086"/>
      <c r="J58" s="2086"/>
      <c r="K58" s="2086"/>
      <c r="L58" s="2086"/>
      <c r="M58" s="2086"/>
      <c r="N58" s="2086"/>
      <c r="O58" s="2086"/>
      <c r="P58" s="2086"/>
      <c r="Q58" s="2086"/>
      <c r="R58" s="2086"/>
      <c r="S58" s="2086"/>
      <c r="T58" s="2086"/>
      <c r="U58" s="2086"/>
      <c r="V58" s="2086"/>
      <c r="W58" s="2086"/>
      <c r="X58" s="2086"/>
      <c r="Y58" s="2086"/>
      <c r="Z58" s="2086"/>
      <c r="AA58" s="2086"/>
      <c r="AB58" s="2086"/>
      <c r="AC58" s="2086"/>
      <c r="AD58" s="2086"/>
      <c r="AE58" s="2086"/>
      <c r="AF58" s="2086"/>
      <c r="AG58" s="2086"/>
      <c r="AH58" s="2086"/>
      <c r="AI58" s="2086"/>
      <c r="AJ58" s="2087"/>
      <c r="AK58" s="541"/>
      <c r="AL58" s="541"/>
      <c r="AM58" s="541"/>
      <c r="AN58" s="536"/>
    </row>
    <row r="59" spans="1:50" s="537" customFormat="1" ht="12.75" customHeight="1">
      <c r="A59" s="541"/>
      <c r="B59" s="548"/>
      <c r="C59" s="548"/>
      <c r="D59" s="548"/>
      <c r="E59" s="2110"/>
      <c r="F59" s="2111"/>
      <c r="G59" s="2111"/>
      <c r="H59" s="2111"/>
      <c r="I59" s="2111"/>
      <c r="J59" s="2111"/>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2"/>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131">
        <f>AO39</f>
        <v>14</v>
      </c>
      <c r="AL62" s="2132"/>
      <c r="AM62" s="2133"/>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005" t="s">
        <v>1314</v>
      </c>
      <c r="AF65" s="2005"/>
      <c r="AG65" s="2005"/>
      <c r="AH65" s="2005"/>
      <c r="AI65" s="2005"/>
      <c r="AJ65" s="2005"/>
      <c r="AK65" s="2005"/>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158" t="s">
        <v>591</v>
      </c>
      <c r="C68" s="2158"/>
      <c r="D68" s="548" t="s">
        <v>1315</v>
      </c>
      <c r="E68" s="2150" t="s">
        <v>2018</v>
      </c>
      <c r="F68" s="2151"/>
      <c r="G68" s="2151"/>
      <c r="H68" s="2151"/>
      <c r="I68" s="2151"/>
      <c r="J68" s="2151"/>
      <c r="K68" s="2151"/>
      <c r="L68" s="2151"/>
      <c r="M68" s="2151"/>
      <c r="N68" s="2151"/>
      <c r="O68" s="2151"/>
      <c r="P68" s="2151"/>
      <c r="Q68" s="2151"/>
      <c r="R68" s="2151"/>
      <c r="S68" s="2151"/>
      <c r="T68" s="2151"/>
      <c r="U68" s="2151"/>
      <c r="V68" s="2151"/>
      <c r="W68" s="2151"/>
      <c r="X68" s="2151"/>
      <c r="Y68" s="2151"/>
      <c r="Z68" s="2151"/>
      <c r="AA68" s="2151"/>
      <c r="AB68" s="2151"/>
      <c r="AC68" s="2151"/>
      <c r="AD68" s="2151"/>
      <c r="AE68" s="2151"/>
      <c r="AF68" s="2151"/>
      <c r="AG68" s="2151"/>
      <c r="AH68" s="2151"/>
      <c r="AI68" s="2151"/>
      <c r="AJ68" s="2152"/>
      <c r="AK68" s="544"/>
      <c r="AL68" s="541"/>
      <c r="AM68" s="541"/>
      <c r="AN68" s="536"/>
      <c r="AO68" s="551">
        <f>IF($B68="yes",10,0)</f>
        <v>0</v>
      </c>
    </row>
    <row r="69" spans="1:42" s="537" customFormat="1" ht="12.75" customHeight="1">
      <c r="A69" s="539"/>
      <c r="B69" s="541"/>
      <c r="C69" s="541"/>
      <c r="D69" s="552"/>
      <c r="E69" s="2153"/>
      <c r="F69" s="2154"/>
      <c r="G69" s="2154"/>
      <c r="H69" s="2154"/>
      <c r="I69" s="2154"/>
      <c r="J69" s="2154"/>
      <c r="K69" s="2154"/>
      <c r="L69" s="2154"/>
      <c r="M69" s="2154"/>
      <c r="N69" s="2154"/>
      <c r="O69" s="2154"/>
      <c r="P69" s="2154"/>
      <c r="Q69" s="2154"/>
      <c r="R69" s="2154"/>
      <c r="S69" s="2154"/>
      <c r="T69" s="2154"/>
      <c r="U69" s="2154"/>
      <c r="V69" s="2154"/>
      <c r="W69" s="2154"/>
      <c r="X69" s="2154"/>
      <c r="Y69" s="2154"/>
      <c r="Z69" s="2154"/>
      <c r="AA69" s="2154"/>
      <c r="AB69" s="2154"/>
      <c r="AC69" s="2154"/>
      <c r="AD69" s="2154"/>
      <c r="AE69" s="2154"/>
      <c r="AF69" s="2154"/>
      <c r="AG69" s="2154"/>
      <c r="AH69" s="2154"/>
      <c r="AI69" s="2154"/>
      <c r="AJ69" s="2155"/>
      <c r="AK69" s="544"/>
      <c r="AL69" s="541"/>
      <c r="AM69" s="541"/>
      <c r="AN69" s="536"/>
      <c r="AO69" s="551">
        <f>IF($B74="yes",10,0)</f>
        <v>0</v>
      </c>
    </row>
    <row r="70" spans="1:42" s="537" customFormat="1" ht="12.75" customHeight="1">
      <c r="A70" s="539"/>
      <c r="B70" s="541"/>
      <c r="C70" s="541"/>
      <c r="D70" s="552"/>
      <c r="E70" s="2153"/>
      <c r="F70" s="2154"/>
      <c r="G70" s="2154"/>
      <c r="H70" s="2154"/>
      <c r="I70" s="2154"/>
      <c r="J70" s="2154"/>
      <c r="K70" s="2154"/>
      <c r="L70" s="2154"/>
      <c r="M70" s="2154"/>
      <c r="N70" s="2154"/>
      <c r="O70" s="2154"/>
      <c r="P70" s="2154"/>
      <c r="Q70" s="2154"/>
      <c r="R70" s="2154"/>
      <c r="S70" s="2154"/>
      <c r="T70" s="2154"/>
      <c r="U70" s="2154"/>
      <c r="V70" s="2154"/>
      <c r="W70" s="2154"/>
      <c r="X70" s="2154"/>
      <c r="Y70" s="2154"/>
      <c r="Z70" s="2154"/>
      <c r="AA70" s="2154"/>
      <c r="AB70" s="2154"/>
      <c r="AC70" s="2154"/>
      <c r="AD70" s="2154"/>
      <c r="AE70" s="2154"/>
      <c r="AF70" s="2154"/>
      <c r="AG70" s="2154"/>
      <c r="AH70" s="2154"/>
      <c r="AI70" s="2154"/>
      <c r="AJ70" s="2155"/>
      <c r="AK70" s="544"/>
      <c r="AL70" s="541"/>
      <c r="AM70" s="541"/>
      <c r="AN70" s="536"/>
      <c r="AO70" s="551">
        <f>IF($B81="yes",10,0)</f>
        <v>0</v>
      </c>
    </row>
    <row r="71" spans="1:42" s="537" customFormat="1" ht="12.75" customHeight="1">
      <c r="A71" s="539"/>
      <c r="B71" s="541"/>
      <c r="C71" s="541"/>
      <c r="D71" s="552"/>
      <c r="E71" s="2153"/>
      <c r="F71" s="2154"/>
      <c r="G71" s="2154"/>
      <c r="H71" s="2154"/>
      <c r="I71" s="2154"/>
      <c r="J71" s="2154"/>
      <c r="K71" s="2154"/>
      <c r="L71" s="2154"/>
      <c r="M71" s="2154"/>
      <c r="N71" s="2154"/>
      <c r="O71" s="2154"/>
      <c r="P71" s="2154"/>
      <c r="Q71" s="2154"/>
      <c r="R71" s="2154"/>
      <c r="S71" s="2154"/>
      <c r="T71" s="2154"/>
      <c r="U71" s="2154"/>
      <c r="V71" s="2154"/>
      <c r="W71" s="2154"/>
      <c r="X71" s="2154"/>
      <c r="Y71" s="2154"/>
      <c r="Z71" s="2154"/>
      <c r="AA71" s="2154"/>
      <c r="AB71" s="2154"/>
      <c r="AC71" s="2154"/>
      <c r="AD71" s="2154"/>
      <c r="AE71" s="2154"/>
      <c r="AF71" s="2154"/>
      <c r="AG71" s="2154"/>
      <c r="AH71" s="2154"/>
      <c r="AI71" s="2154"/>
      <c r="AJ71" s="2155"/>
      <c r="AK71" s="544"/>
      <c r="AL71" s="541"/>
      <c r="AM71" s="541"/>
      <c r="AN71" s="536"/>
      <c r="AO71" s="537">
        <f>IF(SUM(AO68:AO70)&gt;10,10,(SUM(AO68:AO70)))</f>
        <v>0</v>
      </c>
      <c r="AP71" s="575" t="s">
        <v>1316</v>
      </c>
    </row>
    <row r="72" spans="1:42" s="537" customFormat="1" ht="12.75" customHeight="1">
      <c r="A72" s="539"/>
      <c r="B72" s="541"/>
      <c r="C72" s="541"/>
      <c r="D72" s="552"/>
      <c r="E72" s="2180"/>
      <c r="F72" s="2181"/>
      <c r="G72" s="2181"/>
      <c r="H72" s="2181"/>
      <c r="I72" s="2181"/>
      <c r="J72" s="2181"/>
      <c r="K72" s="2181"/>
      <c r="L72" s="2181"/>
      <c r="M72" s="2181"/>
      <c r="N72" s="2181"/>
      <c r="O72" s="2181"/>
      <c r="P72" s="2181"/>
      <c r="Q72" s="2181"/>
      <c r="R72" s="2181"/>
      <c r="S72" s="2181"/>
      <c r="T72" s="2181"/>
      <c r="U72" s="2181"/>
      <c r="V72" s="2181"/>
      <c r="W72" s="2181"/>
      <c r="X72" s="2181"/>
      <c r="Y72" s="2181"/>
      <c r="Z72" s="2181"/>
      <c r="AA72" s="2181"/>
      <c r="AB72" s="2181"/>
      <c r="AC72" s="2181"/>
      <c r="AD72" s="2181"/>
      <c r="AE72" s="2181"/>
      <c r="AF72" s="2181"/>
      <c r="AG72" s="2181"/>
      <c r="AH72" s="2181"/>
      <c r="AI72" s="2181"/>
      <c r="AJ72" s="2182"/>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158" t="s">
        <v>591</v>
      </c>
      <c r="C74" s="2158"/>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183" t="s">
        <v>591</v>
      </c>
      <c r="F75" s="2158"/>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178" t="s">
        <v>591</v>
      </c>
      <c r="F76" s="2179"/>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178" t="s">
        <v>591</v>
      </c>
      <c r="F77" s="2179"/>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183" t="s">
        <v>591</v>
      </c>
      <c r="F79" s="2158"/>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158" t="s">
        <v>591</v>
      </c>
      <c r="C81" s="2158"/>
      <c r="D81" s="548" t="s">
        <v>1320</v>
      </c>
      <c r="E81" s="2085" t="s">
        <v>1740</v>
      </c>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6"/>
      <c r="AI81" s="2086"/>
      <c r="AJ81" s="2087"/>
      <c r="AK81" s="544"/>
      <c r="AL81" s="541"/>
      <c r="AM81" s="541"/>
      <c r="AN81" s="536"/>
    </row>
    <row r="82" spans="1:43" s="537" customFormat="1" ht="12.75" customHeight="1">
      <c r="A82" s="539"/>
      <c r="B82" s="541"/>
      <c r="C82" s="541"/>
      <c r="D82" s="551"/>
      <c r="E82" s="2110"/>
      <c r="F82" s="2111"/>
      <c r="G82" s="2111"/>
      <c r="H82" s="2111"/>
      <c r="I82" s="2111"/>
      <c r="J82" s="2111"/>
      <c r="K82" s="2111"/>
      <c r="L82" s="2111"/>
      <c r="M82" s="2111"/>
      <c r="N82" s="2111"/>
      <c r="O82" s="2111"/>
      <c r="P82" s="2111"/>
      <c r="Q82" s="2111"/>
      <c r="R82" s="2111"/>
      <c r="S82" s="2111"/>
      <c r="T82" s="2111"/>
      <c r="U82" s="2111"/>
      <c r="V82" s="2111"/>
      <c r="W82" s="2111"/>
      <c r="X82" s="2111"/>
      <c r="Y82" s="2111"/>
      <c r="Z82" s="2111"/>
      <c r="AA82" s="2111"/>
      <c r="AB82" s="2111"/>
      <c r="AC82" s="2111"/>
      <c r="AD82" s="2111"/>
      <c r="AE82" s="2111"/>
      <c r="AF82" s="2111"/>
      <c r="AG82" s="2111"/>
      <c r="AH82" s="2111"/>
      <c r="AI82" s="2111"/>
      <c r="AJ82" s="2112"/>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131">
        <f>IF(AK62&gt;0,0,AO71)</f>
        <v>0</v>
      </c>
      <c r="AL84" s="2132"/>
      <c r="AM84" s="2133"/>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005" t="s">
        <v>1305</v>
      </c>
      <c r="AF87" s="2005"/>
      <c r="AG87" s="2005"/>
      <c r="AH87" s="2005"/>
      <c r="AI87" s="2005"/>
      <c r="AJ87" s="2005"/>
      <c r="AK87" s="2005"/>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158" t="s">
        <v>545</v>
      </c>
      <c r="C90" s="2158"/>
      <c r="D90" s="548" t="s">
        <v>1315</v>
      </c>
      <c r="E90" s="2150" t="s">
        <v>1325</v>
      </c>
      <c r="F90" s="2151"/>
      <c r="G90" s="2151"/>
      <c r="H90" s="2151"/>
      <c r="I90" s="2151"/>
      <c r="J90" s="2151"/>
      <c r="K90" s="2151"/>
      <c r="L90" s="2151"/>
      <c r="M90" s="2151"/>
      <c r="N90" s="2151"/>
      <c r="O90" s="2151"/>
      <c r="P90" s="2151"/>
      <c r="Q90" s="2151"/>
      <c r="R90" s="2151"/>
      <c r="S90" s="2151"/>
      <c r="T90" s="2151"/>
      <c r="U90" s="2151"/>
      <c r="V90" s="2151"/>
      <c r="W90" s="2151"/>
      <c r="X90" s="2151"/>
      <c r="Y90" s="2151"/>
      <c r="Z90" s="2151"/>
      <c r="AA90" s="2151"/>
      <c r="AB90" s="2151"/>
      <c r="AC90" s="2151"/>
      <c r="AD90" s="2151"/>
      <c r="AE90" s="2151"/>
      <c r="AF90" s="2151"/>
      <c r="AG90" s="2151"/>
      <c r="AH90" s="2151"/>
      <c r="AI90" s="2151"/>
      <c r="AJ90" s="2152"/>
      <c r="AK90" s="544"/>
      <c r="AL90" s="541"/>
      <c r="AM90" s="541"/>
      <c r="AN90" s="536"/>
    </row>
    <row r="91" spans="1:43" s="537" customFormat="1" ht="12.75" customHeight="1">
      <c r="A91" s="539"/>
      <c r="B91" s="540"/>
      <c r="C91" s="540"/>
      <c r="D91" s="540"/>
      <c r="E91" s="2153"/>
      <c r="F91" s="2154"/>
      <c r="G91" s="2154"/>
      <c r="H91" s="2154"/>
      <c r="I91" s="2154"/>
      <c r="J91" s="2154"/>
      <c r="K91" s="2154"/>
      <c r="L91" s="2154"/>
      <c r="M91" s="2154"/>
      <c r="N91" s="2154"/>
      <c r="O91" s="2154"/>
      <c r="P91" s="2154"/>
      <c r="Q91" s="2154"/>
      <c r="R91" s="2154"/>
      <c r="S91" s="2154"/>
      <c r="T91" s="2154"/>
      <c r="U91" s="2154"/>
      <c r="V91" s="2154"/>
      <c r="W91" s="2154"/>
      <c r="X91" s="2154"/>
      <c r="Y91" s="2154"/>
      <c r="Z91" s="2154"/>
      <c r="AA91" s="2154"/>
      <c r="AB91" s="2154"/>
      <c r="AC91" s="2154"/>
      <c r="AD91" s="2154"/>
      <c r="AE91" s="2154"/>
      <c r="AF91" s="2154"/>
      <c r="AG91" s="2154"/>
      <c r="AH91" s="2154"/>
      <c r="AI91" s="2154"/>
      <c r="AJ91" s="2155"/>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146">
        <f>Application!AC753</f>
        <v>0.49206349206349204</v>
      </c>
      <c r="F93" s="2147"/>
      <c r="G93" s="2147"/>
      <c r="H93" s="2147"/>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177">
        <f>0.6-ROUNDUP(E93,2)</f>
        <v>9.9999999999999978E-2</v>
      </c>
      <c r="F94" s="1952"/>
      <c r="G94" s="1952"/>
      <c r="H94" s="1952"/>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162">
        <f>IF(E94*200&gt;20,20,E94*200)</f>
        <v>19.999999999999996</v>
      </c>
      <c r="F95" s="2163"/>
      <c r="G95" s="2163"/>
      <c r="H95" s="2163"/>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19.999999999999996</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158" t="s">
        <v>591</v>
      </c>
      <c r="C98" s="2158"/>
      <c r="D98" s="548" t="s">
        <v>1317</v>
      </c>
      <c r="E98" s="2150" t="s">
        <v>1725</v>
      </c>
      <c r="F98" s="2151"/>
      <c r="G98" s="2151"/>
      <c r="H98" s="2151"/>
      <c r="I98" s="2151"/>
      <c r="J98" s="2151"/>
      <c r="K98" s="2151"/>
      <c r="L98" s="2151"/>
      <c r="M98" s="2151"/>
      <c r="N98" s="2151"/>
      <c r="O98" s="2151"/>
      <c r="P98" s="2151"/>
      <c r="Q98" s="2151"/>
      <c r="R98" s="2151"/>
      <c r="S98" s="2151"/>
      <c r="T98" s="2151"/>
      <c r="U98" s="2151"/>
      <c r="V98" s="2151"/>
      <c r="W98" s="2151"/>
      <c r="X98" s="2151"/>
      <c r="Y98" s="2151"/>
      <c r="Z98" s="2151"/>
      <c r="AA98" s="2151"/>
      <c r="AB98" s="2151"/>
      <c r="AC98" s="2151"/>
      <c r="AD98" s="2151"/>
      <c r="AE98" s="2151"/>
      <c r="AF98" s="2151"/>
      <c r="AG98" s="2151"/>
      <c r="AH98" s="2151"/>
      <c r="AI98" s="2151"/>
      <c r="AJ98" s="2152"/>
      <c r="AK98" s="544"/>
      <c r="AL98" s="541"/>
      <c r="AM98" s="541"/>
      <c r="AN98" s="536"/>
    </row>
    <row r="99" spans="1:47" s="537" customFormat="1" ht="12.75" customHeight="1">
      <c r="A99" s="539"/>
      <c r="B99" s="540"/>
      <c r="C99" s="540"/>
      <c r="D99" s="540"/>
      <c r="E99" s="2153"/>
      <c r="F99" s="2154"/>
      <c r="G99" s="2154"/>
      <c r="H99" s="2154"/>
      <c r="I99" s="2154"/>
      <c r="J99" s="2154"/>
      <c r="K99" s="2154"/>
      <c r="L99" s="2154"/>
      <c r="M99" s="2154"/>
      <c r="N99" s="2154"/>
      <c r="O99" s="2154"/>
      <c r="P99" s="2154"/>
      <c r="Q99" s="2154"/>
      <c r="R99" s="2154"/>
      <c r="S99" s="2154"/>
      <c r="T99" s="2154"/>
      <c r="U99" s="2154"/>
      <c r="V99" s="2154"/>
      <c r="W99" s="2154"/>
      <c r="X99" s="2154"/>
      <c r="Y99" s="2154"/>
      <c r="Z99" s="2154"/>
      <c r="AA99" s="2154"/>
      <c r="AB99" s="2154"/>
      <c r="AC99" s="2154"/>
      <c r="AD99" s="2154"/>
      <c r="AE99" s="2154"/>
      <c r="AF99" s="2154"/>
      <c r="AG99" s="2154"/>
      <c r="AH99" s="2154"/>
      <c r="AI99" s="2154"/>
      <c r="AJ99" s="2155"/>
      <c r="AK99" s="544"/>
      <c r="AL99" s="541"/>
      <c r="AM99" s="541"/>
      <c r="AN99" s="536"/>
    </row>
    <row r="100" spans="1:47" s="537" customFormat="1" ht="12.75" customHeight="1">
      <c r="A100" s="539"/>
      <c r="B100" s="540"/>
      <c r="C100" s="540"/>
      <c r="D100" s="540"/>
      <c r="E100" s="2153"/>
      <c r="F100" s="2154"/>
      <c r="G100" s="2154"/>
      <c r="H100" s="2154"/>
      <c r="I100" s="2154"/>
      <c r="J100" s="2154"/>
      <c r="K100" s="2154"/>
      <c r="L100" s="2154"/>
      <c r="M100" s="2154"/>
      <c r="N100" s="2154"/>
      <c r="O100" s="2154"/>
      <c r="P100" s="2154"/>
      <c r="Q100" s="2154"/>
      <c r="R100" s="2154"/>
      <c r="S100" s="2154"/>
      <c r="T100" s="2154"/>
      <c r="U100" s="2154"/>
      <c r="V100" s="2154"/>
      <c r="W100" s="2154"/>
      <c r="X100" s="2154"/>
      <c r="Y100" s="2154"/>
      <c r="Z100" s="2154"/>
      <c r="AA100" s="2154"/>
      <c r="AB100" s="2154"/>
      <c r="AC100" s="2154"/>
      <c r="AD100" s="2154"/>
      <c r="AE100" s="2154"/>
      <c r="AF100" s="2154"/>
      <c r="AG100" s="2154"/>
      <c r="AH100" s="2154"/>
      <c r="AI100" s="2154"/>
      <c r="AJ100" s="2155"/>
      <c r="AK100" s="544"/>
      <c r="AL100" s="541"/>
      <c r="AM100" s="541"/>
      <c r="AN100" s="536"/>
    </row>
    <row r="101" spans="1:47" s="537" customFormat="1" ht="12.75" customHeight="1">
      <c r="A101" s="539"/>
      <c r="B101" s="540"/>
      <c r="C101" s="540"/>
      <c r="D101" s="540"/>
      <c r="E101" s="2153"/>
      <c r="F101" s="2154"/>
      <c r="G101" s="2154"/>
      <c r="H101" s="2154"/>
      <c r="I101" s="2154"/>
      <c r="J101" s="2154"/>
      <c r="K101" s="2154"/>
      <c r="L101" s="2154"/>
      <c r="M101" s="2154"/>
      <c r="N101" s="2154"/>
      <c r="O101" s="2154"/>
      <c r="P101" s="2154"/>
      <c r="Q101" s="2154"/>
      <c r="R101" s="2154"/>
      <c r="S101" s="2154"/>
      <c r="T101" s="2154"/>
      <c r="U101" s="2154"/>
      <c r="V101" s="2154"/>
      <c r="W101" s="2154"/>
      <c r="X101" s="2154"/>
      <c r="Y101" s="2154"/>
      <c r="Z101" s="2154"/>
      <c r="AA101" s="2154"/>
      <c r="AB101" s="2154"/>
      <c r="AC101" s="2154"/>
      <c r="AD101" s="2154"/>
      <c r="AE101" s="2154"/>
      <c r="AF101" s="2154"/>
      <c r="AG101" s="2154"/>
      <c r="AH101" s="2154"/>
      <c r="AI101" s="2154"/>
      <c r="AJ101" s="2155"/>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146">
        <f>Application!AC753</f>
        <v>0.49206349206349204</v>
      </c>
      <c r="F103" s="2147"/>
      <c r="G103" s="2147"/>
      <c r="H103" s="2147"/>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146">
        <f ca="1">SUMIF(Application!AC718:AG752,0.2,Application!G718:J752)/Application!G753+SUMIF(Application!AC718:AG752,0.25,Application!G718:J752)/Application!G753+SUMIF(Application!AC718:AG752,0.3,Application!G718:J752)/Application!G753</f>
        <v>0</v>
      </c>
      <c r="F104" s="2147"/>
      <c r="G104" s="2147"/>
      <c r="H104" s="2147"/>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146">
        <f ca="1">SUMIF(Application!AC718:AG752,0.35,Application!G718:J752)/Application!G753+SUMIF(Application!AC718:AG752,0.4,Application!G718:J752)/Application!G753+SUMIF(Application!AC718:AG752,0.45,Application!G718:J752)/Application!G753+SUMIF(Application!AC718:AG752,0.5,Application!G718:J752)/Application!G753</f>
        <v>0.84126984126984128</v>
      </c>
      <c r="F105" s="2147"/>
      <c r="G105" s="2147"/>
      <c r="H105" s="2147"/>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144">
        <f ca="1">IF(AND(E103&lt;=0.6,OR(AND(E104&gt;=0.1,E105&gt;=0.1),AND(E104&gt;0.1,(E104+E105)&gt;=0.2))),20,0)</f>
        <v>0</v>
      </c>
      <c r="F106" s="2145"/>
      <c r="G106" s="2145"/>
      <c r="H106" s="2145"/>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131">
        <f>MAX(AP95,AP106)</f>
        <v>19.999999999999996</v>
      </c>
      <c r="AL109" s="2132"/>
      <c r="AM109" s="2133"/>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005" t="s">
        <v>1314</v>
      </c>
      <c r="AF112" s="2005"/>
      <c r="AG112" s="2005"/>
      <c r="AH112" s="2005"/>
      <c r="AI112" s="2005"/>
      <c r="AJ112" s="2005"/>
      <c r="AK112" s="2005"/>
      <c r="AL112" s="541"/>
      <c r="AM112" s="541"/>
      <c r="AN112" s="536"/>
      <c r="AO112" s="537" t="str">
        <f>Application!B718</f>
        <v>1 Bedroom</v>
      </c>
      <c r="AQ112" s="537">
        <f>Application!O718</f>
        <v>885</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1275</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1535</v>
      </c>
    </row>
    <row r="115" spans="1:52" s="537" customFormat="1" ht="12.75" customHeight="1">
      <c r="A115" s="541"/>
      <c r="B115" s="2158" t="s">
        <v>545</v>
      </c>
      <c r="C115" s="2158"/>
      <c r="D115" s="548" t="s">
        <v>1315</v>
      </c>
      <c r="E115" s="2150" t="s">
        <v>1858</v>
      </c>
      <c r="F115" s="2151"/>
      <c r="G115" s="2151"/>
      <c r="H115" s="2151"/>
      <c r="I115" s="2151"/>
      <c r="J115" s="2151"/>
      <c r="K115" s="2151"/>
      <c r="L115" s="2151"/>
      <c r="M115" s="2151"/>
      <c r="N115" s="2151"/>
      <c r="O115" s="2151"/>
      <c r="P115" s="2151"/>
      <c r="Q115" s="2151"/>
      <c r="R115" s="2151"/>
      <c r="S115" s="2151"/>
      <c r="T115" s="2151"/>
      <c r="U115" s="2151"/>
      <c r="V115" s="2151"/>
      <c r="W115" s="2151"/>
      <c r="X115" s="2151"/>
      <c r="Y115" s="2151"/>
      <c r="Z115" s="2151"/>
      <c r="AA115" s="2151"/>
      <c r="AB115" s="2151"/>
      <c r="AC115" s="2151"/>
      <c r="AD115" s="2151"/>
      <c r="AE115" s="2151"/>
      <c r="AF115" s="2151"/>
      <c r="AG115" s="2151"/>
      <c r="AH115" s="2151"/>
      <c r="AI115" s="2151"/>
      <c r="AJ115" s="2152"/>
      <c r="AK115" s="541"/>
      <c r="AL115" s="541"/>
      <c r="AM115" s="541"/>
      <c r="AN115" s="536"/>
      <c r="AO115" s="537">
        <f>Application!B721</f>
        <v>0</v>
      </c>
      <c r="AQ115" s="537">
        <f>Application!O721</f>
        <v>0</v>
      </c>
      <c r="AU115" s="537" t="s">
        <v>1840</v>
      </c>
      <c r="AV115" s="596" t="s">
        <v>1841</v>
      </c>
      <c r="AW115" s="537" t="s">
        <v>1842</v>
      </c>
    </row>
    <row r="116" spans="1:52" s="537" customFormat="1" ht="12.75" customHeight="1">
      <c r="A116" s="541"/>
      <c r="B116" s="540"/>
      <c r="C116" s="540"/>
      <c r="D116" s="540"/>
      <c r="E116" s="2153"/>
      <c r="F116" s="2154"/>
      <c r="G116" s="2154"/>
      <c r="H116" s="2154"/>
      <c r="I116" s="2154"/>
      <c r="J116" s="2154"/>
      <c r="K116" s="2154"/>
      <c r="L116" s="2154"/>
      <c r="M116" s="2154"/>
      <c r="N116" s="2154"/>
      <c r="O116" s="2154"/>
      <c r="P116" s="2154"/>
      <c r="Q116" s="2154"/>
      <c r="R116" s="2154"/>
      <c r="S116" s="2154"/>
      <c r="T116" s="2154"/>
      <c r="U116" s="2154"/>
      <c r="V116" s="2154"/>
      <c r="W116" s="2154"/>
      <c r="X116" s="2154"/>
      <c r="Y116" s="2154"/>
      <c r="Z116" s="2154"/>
      <c r="AA116" s="2154"/>
      <c r="AB116" s="2154"/>
      <c r="AC116" s="2154"/>
      <c r="AD116" s="2154"/>
      <c r="AE116" s="2154"/>
      <c r="AF116" s="2154"/>
      <c r="AG116" s="2154"/>
      <c r="AH116" s="2154"/>
      <c r="AI116" s="2154"/>
      <c r="AJ116" s="2155"/>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153"/>
      <c r="F117" s="2154"/>
      <c r="G117" s="2154"/>
      <c r="H117" s="2154"/>
      <c r="I117" s="2154"/>
      <c r="J117" s="2154"/>
      <c r="K117" s="2154"/>
      <c r="L117" s="2154"/>
      <c r="M117" s="2154"/>
      <c r="N117" s="2154"/>
      <c r="O117" s="2154"/>
      <c r="P117" s="2154"/>
      <c r="Q117" s="2154"/>
      <c r="R117" s="2154"/>
      <c r="S117" s="2154"/>
      <c r="T117" s="2154"/>
      <c r="U117" s="2154"/>
      <c r="V117" s="2154"/>
      <c r="W117" s="2154"/>
      <c r="X117" s="2154"/>
      <c r="Y117" s="2154"/>
      <c r="Z117" s="2154"/>
      <c r="AA117" s="2154"/>
      <c r="AB117" s="2154"/>
      <c r="AC117" s="2154"/>
      <c r="AD117" s="2154"/>
      <c r="AE117" s="2154"/>
      <c r="AF117" s="2154"/>
      <c r="AG117" s="2154"/>
      <c r="AH117" s="2154"/>
      <c r="AI117" s="2154"/>
      <c r="AJ117" s="2155"/>
      <c r="AK117" s="541"/>
      <c r="AL117" s="541"/>
      <c r="AM117" s="541"/>
      <c r="AN117" s="536"/>
      <c r="AO117" s="537">
        <f>Application!B723</f>
        <v>0</v>
      </c>
      <c r="AQ117" s="537">
        <f>Application!O723</f>
        <v>0</v>
      </c>
      <c r="AU117" s="857" t="str">
        <f>J124</f>
        <v>1-bedroom</v>
      </c>
      <c r="AV117" s="537">
        <f t="array" ref="AV117">SUM(IF(Application!B718:F752="1 Bedroom",Application!G718:J752))</f>
        <v>63</v>
      </c>
      <c r="AW117" s="1012">
        <f>AV117/AV122</f>
        <v>1</v>
      </c>
    </row>
    <row r="118" spans="1:52" s="537" customFormat="1" ht="12.75" customHeight="1">
      <c r="A118" s="541"/>
      <c r="B118" s="540"/>
      <c r="C118" s="540"/>
      <c r="D118" s="540"/>
      <c r="E118" s="2153"/>
      <c r="F118" s="2154"/>
      <c r="G118" s="2154"/>
      <c r="H118" s="2154"/>
      <c r="I118" s="2154"/>
      <c r="J118" s="2154"/>
      <c r="K118" s="2154"/>
      <c r="L118" s="2154"/>
      <c r="M118" s="2154"/>
      <c r="N118" s="2154"/>
      <c r="O118" s="2154"/>
      <c r="P118" s="2154"/>
      <c r="Q118" s="2154"/>
      <c r="R118" s="2154"/>
      <c r="S118" s="2154"/>
      <c r="T118" s="2154"/>
      <c r="U118" s="2154"/>
      <c r="V118" s="2154"/>
      <c r="W118" s="2154"/>
      <c r="X118" s="2154"/>
      <c r="Y118" s="2154"/>
      <c r="Z118" s="2154"/>
      <c r="AA118" s="2154"/>
      <c r="AB118" s="2154"/>
      <c r="AC118" s="2154"/>
      <c r="AD118" s="2154"/>
      <c r="AE118" s="2154"/>
      <c r="AF118" s="2154"/>
      <c r="AG118" s="2154"/>
      <c r="AH118" s="2154"/>
      <c r="AI118" s="2154"/>
      <c r="AJ118" s="2155"/>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153"/>
      <c r="F119" s="2154"/>
      <c r="G119" s="2154"/>
      <c r="H119" s="2154"/>
      <c r="I119" s="2154"/>
      <c r="J119" s="2154"/>
      <c r="K119" s="2154"/>
      <c r="L119" s="2154"/>
      <c r="M119" s="2154"/>
      <c r="N119" s="2154"/>
      <c r="O119" s="2154"/>
      <c r="P119" s="2154"/>
      <c r="Q119" s="2154"/>
      <c r="R119" s="2154"/>
      <c r="S119" s="2154"/>
      <c r="T119" s="2154"/>
      <c r="U119" s="2154"/>
      <c r="V119" s="2154"/>
      <c r="W119" s="2154"/>
      <c r="X119" s="2154"/>
      <c r="Y119" s="2154"/>
      <c r="Z119" s="2154"/>
      <c r="AA119" s="2154"/>
      <c r="AB119" s="2154"/>
      <c r="AC119" s="2154"/>
      <c r="AD119" s="2154"/>
      <c r="AE119" s="2154"/>
      <c r="AF119" s="2154"/>
      <c r="AG119" s="2154"/>
      <c r="AH119" s="2154"/>
      <c r="AI119" s="2154"/>
      <c r="AJ119" s="2155"/>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153"/>
      <c r="F120" s="2154"/>
      <c r="G120" s="2154"/>
      <c r="H120" s="2154"/>
      <c r="I120" s="2154"/>
      <c r="J120" s="2154"/>
      <c r="K120" s="2154"/>
      <c r="L120" s="2154"/>
      <c r="M120" s="2154"/>
      <c r="N120" s="2154"/>
      <c r="O120" s="2154"/>
      <c r="P120" s="2154"/>
      <c r="Q120" s="2154"/>
      <c r="R120" s="2154"/>
      <c r="S120" s="2154"/>
      <c r="T120" s="2154"/>
      <c r="U120" s="2154"/>
      <c r="V120" s="2154"/>
      <c r="W120" s="2154"/>
      <c r="X120" s="2154"/>
      <c r="Y120" s="2154"/>
      <c r="Z120" s="2154"/>
      <c r="AA120" s="2154"/>
      <c r="AB120" s="2154"/>
      <c r="AC120" s="2154"/>
      <c r="AD120" s="2154"/>
      <c r="AE120" s="2154"/>
      <c r="AF120" s="2154"/>
      <c r="AG120" s="2154"/>
      <c r="AH120" s="2154"/>
      <c r="AI120" s="2154"/>
      <c r="AJ120" s="2155"/>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153"/>
      <c r="F121" s="2154"/>
      <c r="G121" s="2154"/>
      <c r="H121" s="2154"/>
      <c r="I121" s="2154"/>
      <c r="J121" s="2154"/>
      <c r="K121" s="2154"/>
      <c r="L121" s="2154"/>
      <c r="M121" s="2154"/>
      <c r="N121" s="2154"/>
      <c r="O121" s="2154"/>
      <c r="P121" s="2154"/>
      <c r="Q121" s="2154"/>
      <c r="R121" s="2154"/>
      <c r="S121" s="2154"/>
      <c r="T121" s="2154"/>
      <c r="U121" s="2154"/>
      <c r="V121" s="2154"/>
      <c r="W121" s="2154"/>
      <c r="X121" s="2154"/>
      <c r="Y121" s="2154"/>
      <c r="Z121" s="2154"/>
      <c r="AA121" s="2154"/>
      <c r="AB121" s="2154"/>
      <c r="AC121" s="2154"/>
      <c r="AD121" s="2154"/>
      <c r="AE121" s="2154"/>
      <c r="AF121" s="2154"/>
      <c r="AG121" s="2154"/>
      <c r="AH121" s="2154"/>
      <c r="AI121" s="2154"/>
      <c r="AJ121" s="2155"/>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153"/>
      <c r="F122" s="2154"/>
      <c r="G122" s="2154"/>
      <c r="H122" s="2154"/>
      <c r="I122" s="2154"/>
      <c r="J122" s="2154"/>
      <c r="K122" s="2154"/>
      <c r="L122" s="2154"/>
      <c r="M122" s="2154"/>
      <c r="N122" s="2154"/>
      <c r="O122" s="2154"/>
      <c r="P122" s="2154"/>
      <c r="Q122" s="2154"/>
      <c r="R122" s="2154"/>
      <c r="S122" s="2154"/>
      <c r="T122" s="2154"/>
      <c r="U122" s="2154"/>
      <c r="V122" s="2154"/>
      <c r="W122" s="2154"/>
      <c r="X122" s="2154"/>
      <c r="Y122" s="2154"/>
      <c r="Z122" s="2154"/>
      <c r="AA122" s="2154"/>
      <c r="AB122" s="2154"/>
      <c r="AC122" s="2154"/>
      <c r="AD122" s="2154"/>
      <c r="AE122" s="2154"/>
      <c r="AF122" s="2154"/>
      <c r="AG122" s="2154"/>
      <c r="AH122" s="2154"/>
      <c r="AI122" s="2154"/>
      <c r="AJ122" s="2155"/>
      <c r="AK122" s="541"/>
      <c r="AL122" s="541"/>
      <c r="AM122" s="541"/>
      <c r="AN122" s="536"/>
      <c r="AO122" s="537">
        <f>Application!B728</f>
        <v>0</v>
      </c>
      <c r="AQ122" s="537">
        <f>Application!O728</f>
        <v>0</v>
      </c>
      <c r="AV122" s="537">
        <f>SUM(AV116:AV121)</f>
        <v>63</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146" t="s">
        <v>1588</v>
      </c>
      <c r="F124" s="2147"/>
      <c r="G124" s="2147"/>
      <c r="H124" s="2147"/>
      <c r="I124" s="578"/>
      <c r="J124" s="2147" t="s">
        <v>1631</v>
      </c>
      <c r="K124" s="2147"/>
      <c r="L124" s="2147"/>
      <c r="M124" s="2147"/>
      <c r="N124" s="578"/>
      <c r="O124" s="2147" t="s">
        <v>1632</v>
      </c>
      <c r="P124" s="2147"/>
      <c r="Q124" s="2147"/>
      <c r="R124" s="2147"/>
      <c r="S124" s="578"/>
      <c r="T124" s="2147" t="s">
        <v>1334</v>
      </c>
      <c r="U124" s="2147"/>
      <c r="V124" s="2147"/>
      <c r="W124" s="2147"/>
      <c r="X124" s="578"/>
      <c r="Y124" s="2147" t="s">
        <v>1633</v>
      </c>
      <c r="Z124" s="2147"/>
      <c r="AA124" s="2147"/>
      <c r="AB124" s="2147"/>
      <c r="AC124" s="578"/>
      <c r="AD124" s="2147" t="s">
        <v>1634</v>
      </c>
      <c r="AE124" s="2147"/>
      <c r="AF124" s="2147"/>
      <c r="AG124" s="2147"/>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148"/>
      <c r="F127" s="2149"/>
      <c r="G127" s="2149"/>
      <c r="H127" s="2149"/>
      <c r="I127" s="865"/>
      <c r="J127" s="2149">
        <v>3236</v>
      </c>
      <c r="K127" s="2149"/>
      <c r="L127" s="2149"/>
      <c r="M127" s="2149"/>
      <c r="N127" s="865"/>
      <c r="O127" s="2149"/>
      <c r="P127" s="2149"/>
      <c r="Q127" s="2149"/>
      <c r="R127" s="2149"/>
      <c r="S127" s="865"/>
      <c r="T127" s="2149"/>
      <c r="U127" s="2149"/>
      <c r="V127" s="2149"/>
      <c r="W127" s="2149"/>
      <c r="X127" s="865"/>
      <c r="Y127" s="2149"/>
      <c r="Z127" s="2149"/>
      <c r="AA127" s="2149"/>
      <c r="AB127" s="2149"/>
      <c r="AC127" s="865"/>
      <c r="AD127" s="2149"/>
      <c r="AE127" s="2149"/>
      <c r="AF127" s="2149"/>
      <c r="AG127" s="2149"/>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156">
        <f>Application!DX670</f>
        <v>0</v>
      </c>
      <c r="F130" s="2157"/>
      <c r="G130" s="2157"/>
      <c r="H130" s="2157"/>
      <c r="I130" s="865"/>
      <c r="J130" s="2157">
        <f>Application!EC670</f>
        <v>1254.3650793650795</v>
      </c>
      <c r="K130" s="2157"/>
      <c r="L130" s="2157"/>
      <c r="M130" s="2157"/>
      <c r="N130" s="865"/>
      <c r="O130" s="2157">
        <f>Application!EH670</f>
        <v>0</v>
      </c>
      <c r="P130" s="2157"/>
      <c r="Q130" s="2157"/>
      <c r="R130" s="2157"/>
      <c r="S130" s="869"/>
      <c r="T130" s="2157">
        <f>Application!EM670</f>
        <v>0</v>
      </c>
      <c r="U130" s="2157"/>
      <c r="V130" s="2157"/>
      <c r="W130" s="2157"/>
      <c r="X130" s="869"/>
      <c r="Y130" s="2157">
        <f>Application!ER670</f>
        <v>0</v>
      </c>
      <c r="Z130" s="2157"/>
      <c r="AA130" s="2157"/>
      <c r="AB130" s="2157"/>
      <c r="AC130" s="869"/>
      <c r="AD130" s="2157">
        <f>Application!EW670</f>
        <v>0</v>
      </c>
      <c r="AE130" s="2157"/>
      <c r="AF130" s="2157"/>
      <c r="AG130" s="2157"/>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1951" t="e">
        <f>(E127-E130)/E127</f>
        <v>#DIV/0!</v>
      </c>
      <c r="F133" s="1952"/>
      <c r="G133" s="1952"/>
      <c r="H133" s="1953"/>
      <c r="I133" s="578"/>
      <c r="J133" s="1951">
        <f>(J127-J130)/J127</f>
        <v>0.61237173072772577</v>
      </c>
      <c r="K133" s="1952"/>
      <c r="L133" s="1952"/>
      <c r="M133" s="1953"/>
      <c r="N133" s="578"/>
      <c r="O133" s="1951" t="e">
        <f>(O127-O130)/O127</f>
        <v>#DIV/0!</v>
      </c>
      <c r="P133" s="1952"/>
      <c r="Q133" s="1952"/>
      <c r="R133" s="1953"/>
      <c r="S133" s="578"/>
      <c r="T133" s="1951" t="e">
        <f>(T127-T130)/T127</f>
        <v>#DIV/0!</v>
      </c>
      <c r="U133" s="1952"/>
      <c r="V133" s="1952"/>
      <c r="W133" s="1953"/>
      <c r="X133" s="578"/>
      <c r="Y133" s="1951" t="e">
        <f>(Y127-Y130)/Y127</f>
        <v>#DIV/0!</v>
      </c>
      <c r="Z133" s="1952"/>
      <c r="AA133" s="1952"/>
      <c r="AB133" s="1953"/>
      <c r="AC133" s="578"/>
      <c r="AD133" s="1951" t="e">
        <f>(AD127-AD130)/AD127</f>
        <v>#DIV/0!</v>
      </c>
      <c r="AE133" s="1952"/>
      <c r="AF133" s="1952"/>
      <c r="AG133" s="1953"/>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159" t="e">
        <f>IF(((E133-0.1)*AW116)&gt;0,((E133-0.1)*AW116),0)</f>
        <v>#DIV/0!</v>
      </c>
      <c r="F136" s="2160"/>
      <c r="G136" s="2160"/>
      <c r="H136" s="2161"/>
      <c r="I136" s="578"/>
      <c r="J136" s="2159">
        <f>IF(((J133-0.1)*AW117)&gt;0,((J133-0.1)*AW117),0)</f>
        <v>0.51237173072772579</v>
      </c>
      <c r="K136" s="2160"/>
      <c r="L136" s="2160"/>
      <c r="M136" s="2161"/>
      <c r="N136" s="578"/>
      <c r="O136" s="2159" t="e">
        <f>IF(((O133-0.1)*AW118)&gt;0,((O133-0.1)*AW118),0)</f>
        <v>#DIV/0!</v>
      </c>
      <c r="P136" s="2160"/>
      <c r="Q136" s="2160"/>
      <c r="R136" s="2161"/>
      <c r="S136" s="578"/>
      <c r="T136" s="2159" t="e">
        <f>IF(((T133-0.1)*AW119)&gt;0,((T133-0.1)*AW119),0)</f>
        <v>#DIV/0!</v>
      </c>
      <c r="U136" s="2160"/>
      <c r="V136" s="2160"/>
      <c r="W136" s="2161"/>
      <c r="X136" s="578"/>
      <c r="Y136" s="2159" t="e">
        <f>IF(((Y133-0.1)*AW120)&gt;0,((Y133-0.1)*AW120),0)</f>
        <v>#DIV/0!</v>
      </c>
      <c r="Z136" s="2160"/>
      <c r="AA136" s="2160"/>
      <c r="AB136" s="2161"/>
      <c r="AC136" s="578"/>
      <c r="AD136" s="2159" t="e">
        <f>IF(((AD133-0.1)*AW121)&gt;0,((AD133-0.1)*AW121),0)</f>
        <v>#DIV/0!</v>
      </c>
      <c r="AE136" s="2160"/>
      <c r="AF136" s="2160"/>
      <c r="AG136" s="2161"/>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1951">
        <f>ROUNDDOWN(SUMIF(E136:AG136,"&gt;0"),2)</f>
        <v>0.51</v>
      </c>
      <c r="F138" s="1952"/>
      <c r="G138" s="1952"/>
      <c r="H138" s="1953"/>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131">
        <f>IF((E138*100)&gt;10,10,E138*100)</f>
        <v>10</v>
      </c>
      <c r="F139" s="2132"/>
      <c r="G139" s="2132"/>
      <c r="H139" s="2133"/>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131">
        <f>E139</f>
        <v>10</v>
      </c>
      <c r="AL143" s="2132"/>
      <c r="AM143" s="2133"/>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005" t="s">
        <v>1314</v>
      </c>
      <c r="AF146" s="2005"/>
      <c r="AG146" s="2005"/>
      <c r="AH146" s="2005"/>
      <c r="AI146" s="2005"/>
      <c r="AJ146" s="2005"/>
      <c r="AK146" s="2005"/>
      <c r="AL146" s="592"/>
      <c r="AN146" s="593"/>
      <c r="AO146" s="537"/>
    </row>
    <row r="147" spans="1:42" s="540" customFormat="1" ht="13.0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065" t="s">
        <v>1338</v>
      </c>
      <c r="AG148" s="2065"/>
      <c r="AH148" s="2065"/>
      <c r="AI148" s="2065"/>
      <c r="AJ148" s="2065"/>
      <c r="AK148" s="2065"/>
      <c r="AL148" s="2065"/>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135" t="s">
        <v>2626</v>
      </c>
      <c r="C150" s="2135"/>
      <c r="D150" s="2135"/>
      <c r="E150" s="2135"/>
      <c r="F150" s="2135"/>
      <c r="G150" s="2135"/>
      <c r="H150" s="2135"/>
      <c r="I150" s="2135"/>
      <c r="J150" s="2135"/>
      <c r="K150" s="2135"/>
      <c r="L150" s="2135"/>
      <c r="M150" s="2135"/>
      <c r="N150" s="2135"/>
      <c r="O150" s="2135"/>
      <c r="P150" s="2135"/>
      <c r="Q150" s="2135"/>
      <c r="R150" s="2135"/>
      <c r="S150" s="2135"/>
      <c r="T150" s="2135"/>
      <c r="U150" s="2135"/>
      <c r="V150" s="2135"/>
      <c r="W150" s="2135"/>
      <c r="X150" s="2135"/>
      <c r="Y150" s="2135"/>
      <c r="Z150" s="2135"/>
      <c r="AA150" s="2135"/>
      <c r="AB150" s="2135"/>
      <c r="AC150" s="2135"/>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136" t="s">
        <v>1341</v>
      </c>
      <c r="C153" s="2136"/>
      <c r="D153" s="2136"/>
      <c r="E153" s="2136"/>
      <c r="F153" s="2136"/>
      <c r="G153" s="2136"/>
      <c r="H153" s="2136"/>
      <c r="I153" s="2136"/>
      <c r="J153" s="2136"/>
      <c r="K153" s="2136"/>
      <c r="L153" s="2136"/>
      <c r="M153" s="2136"/>
      <c r="N153" s="2136"/>
      <c r="O153" s="2136"/>
      <c r="P153" s="2136"/>
      <c r="Q153" s="2136"/>
      <c r="R153" s="2136"/>
      <c r="S153" s="2136"/>
      <c r="T153" s="2136"/>
      <c r="U153" s="2136"/>
      <c r="V153" s="2136"/>
      <c r="W153" s="2136"/>
      <c r="X153" s="2136"/>
      <c r="Y153" s="2136"/>
      <c r="Z153" s="2136"/>
      <c r="AA153" s="2136"/>
      <c r="AB153" s="2136"/>
      <c r="AC153" s="2136"/>
      <c r="AD153" s="2136"/>
      <c r="AE153" s="2136"/>
      <c r="AF153" s="2136"/>
      <c r="AG153" s="2136"/>
      <c r="AH153" s="2136"/>
      <c r="AI153" s="2136"/>
      <c r="AM153" s="540"/>
      <c r="AN153" s="536"/>
      <c r="AO153" s="477" t="s">
        <v>1341</v>
      </c>
      <c r="AP153" s="490">
        <v>7</v>
      </c>
    </row>
    <row r="154" spans="1:42" s="537" customFormat="1" ht="13.0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1937" t="s">
        <v>591</v>
      </c>
      <c r="AC155" s="1937"/>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136" t="s">
        <v>1343</v>
      </c>
      <c r="C158" s="2136"/>
      <c r="D158" s="2136"/>
      <c r="E158" s="2136"/>
      <c r="F158" s="2136"/>
      <c r="G158" s="2136"/>
      <c r="H158" s="2136"/>
      <c r="I158" s="2136"/>
      <c r="J158" s="2136"/>
      <c r="K158" s="2136"/>
      <c r="L158" s="2136"/>
      <c r="M158" s="2136"/>
      <c r="N158" s="2136"/>
      <c r="O158" s="2136"/>
      <c r="P158" s="2136"/>
      <c r="Q158" s="2136"/>
      <c r="R158" s="2136"/>
      <c r="S158" s="2136"/>
      <c r="T158" s="2136"/>
      <c r="U158" s="2136"/>
      <c r="V158" s="2136"/>
      <c r="W158" s="2136"/>
      <c r="X158" s="2136"/>
      <c r="Y158" s="2136"/>
      <c r="Z158" s="2136"/>
      <c r="AA158" s="2136"/>
      <c r="AB158" s="2136"/>
      <c r="AC158" s="2136"/>
      <c r="AD158" s="2136"/>
      <c r="AE158" s="2136"/>
      <c r="AF158" s="2136"/>
      <c r="AG158" s="2136"/>
      <c r="AH158" s="2136"/>
      <c r="AI158" s="2136"/>
      <c r="AJ158" s="2136"/>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1934" t="s">
        <v>2479</v>
      </c>
      <c r="C161" s="1934"/>
      <c r="D161" s="1934"/>
      <c r="E161" s="1934"/>
      <c r="F161" s="1934"/>
      <c r="G161" s="1934"/>
      <c r="H161" s="1934"/>
      <c r="I161" s="1934"/>
      <c r="J161" s="1934"/>
      <c r="K161" s="1934"/>
      <c r="L161" s="1934"/>
      <c r="M161" s="1934"/>
      <c r="N161" s="1934"/>
      <c r="O161" s="1934"/>
      <c r="P161" s="1934"/>
      <c r="Q161" s="1934"/>
      <c r="R161" s="1934"/>
      <c r="S161" s="1934"/>
      <c r="T161" s="1934"/>
      <c r="U161" s="1934"/>
      <c r="V161" s="1934"/>
      <c r="W161" s="1934"/>
      <c r="X161" s="1934"/>
      <c r="Y161" s="1934"/>
      <c r="Z161" s="1934"/>
      <c r="AA161" s="1934"/>
      <c r="AB161" s="1934"/>
      <c r="AC161" s="1934"/>
      <c r="AD161" s="1934"/>
      <c r="AE161" s="1934"/>
      <c r="AF161" s="1934"/>
      <c r="AG161" s="1934"/>
      <c r="AH161" s="1934"/>
      <c r="AI161" s="1934"/>
      <c r="AJ161" s="1934"/>
      <c r="AK161" s="1182"/>
      <c r="AM161" s="540"/>
      <c r="AN161" s="536"/>
      <c r="AO161" s="477"/>
      <c r="AP161" s="490"/>
    </row>
    <row r="162" spans="1:42" s="537" customFormat="1" ht="12.75" customHeight="1">
      <c r="B162" s="1934"/>
      <c r="C162" s="1934"/>
      <c r="D162" s="1934"/>
      <c r="E162" s="1934"/>
      <c r="F162" s="1934"/>
      <c r="G162" s="1934"/>
      <c r="H162" s="1934"/>
      <c r="I162" s="1934"/>
      <c r="J162" s="1934"/>
      <c r="K162" s="1934"/>
      <c r="L162" s="1934"/>
      <c r="M162" s="1934"/>
      <c r="N162" s="1934"/>
      <c r="O162" s="1934"/>
      <c r="P162" s="1934"/>
      <c r="Q162" s="1934"/>
      <c r="R162" s="1934"/>
      <c r="S162" s="1934"/>
      <c r="T162" s="1934"/>
      <c r="U162" s="1934"/>
      <c r="V162" s="1934"/>
      <c r="W162" s="1934"/>
      <c r="X162" s="1934"/>
      <c r="Y162" s="1934"/>
      <c r="Z162" s="1934"/>
      <c r="AA162" s="1934"/>
      <c r="AB162" s="1934"/>
      <c r="AC162" s="1934"/>
      <c r="AD162" s="1934"/>
      <c r="AE162" s="1934"/>
      <c r="AF162" s="1934"/>
      <c r="AG162" s="1934"/>
      <c r="AH162" s="1934"/>
      <c r="AI162" s="1934"/>
      <c r="AJ162" s="1934"/>
      <c r="AK162" s="1182"/>
      <c r="AM162" s="540"/>
      <c r="AN162" s="536"/>
      <c r="AO162" s="477"/>
      <c r="AP162" s="490"/>
    </row>
    <row r="163" spans="1:42" s="537" customFormat="1" ht="12.75" customHeight="1">
      <c r="C163" s="1935" t="s">
        <v>2480</v>
      </c>
      <c r="D163" s="1935"/>
      <c r="E163" s="1935"/>
      <c r="F163" s="1935"/>
      <c r="G163" s="1935"/>
      <c r="H163" s="1935"/>
      <c r="I163" s="1935"/>
      <c r="J163" s="1935"/>
      <c r="K163" s="1935"/>
      <c r="L163" s="1935"/>
      <c r="M163" s="1935"/>
      <c r="N163" s="1935"/>
      <c r="O163" s="1935"/>
      <c r="P163" s="1935"/>
      <c r="Q163" s="1935"/>
      <c r="R163" s="1935"/>
      <c r="S163" s="1935"/>
      <c r="T163" s="1935"/>
      <c r="U163" s="1935"/>
      <c r="V163" s="1935"/>
      <c r="W163" s="1935"/>
      <c r="X163" s="1935"/>
      <c r="Y163" s="1935"/>
      <c r="Z163" s="1935"/>
      <c r="AA163" s="1935"/>
      <c r="AB163" s="1935"/>
      <c r="AC163" s="1935"/>
      <c r="AD163" s="1935"/>
      <c r="AE163" s="1935"/>
      <c r="AF163" s="1935"/>
      <c r="AG163" s="1935"/>
      <c r="AH163" s="1935"/>
      <c r="AI163" s="1935"/>
      <c r="AJ163" s="1935"/>
      <c r="AK163" s="1182"/>
      <c r="AM163" s="540"/>
      <c r="AN163" s="536"/>
      <c r="AO163" s="477"/>
      <c r="AP163" s="490"/>
    </row>
    <row r="164" spans="1:42" s="537" customFormat="1" ht="12.75" customHeight="1">
      <c r="B164" s="1182"/>
      <c r="C164" s="1936" t="s">
        <v>2478</v>
      </c>
      <c r="D164" s="1936"/>
      <c r="E164" s="1936"/>
      <c r="F164" s="1936"/>
      <c r="G164" s="1936"/>
      <c r="H164" s="1936"/>
      <c r="I164" s="1936"/>
      <c r="J164" s="1936"/>
      <c r="K164" s="1936"/>
      <c r="L164" s="1936"/>
      <c r="M164" s="1936"/>
      <c r="N164" s="1936"/>
      <c r="O164" s="1936"/>
      <c r="P164" s="1936"/>
      <c r="Q164" s="1936"/>
      <c r="R164" s="1936"/>
      <c r="S164" s="1936"/>
      <c r="T164" s="1936"/>
      <c r="U164" s="1936"/>
      <c r="V164" s="1936"/>
      <c r="W164" s="1936"/>
      <c r="X164" s="1936"/>
      <c r="Y164" s="1936"/>
      <c r="Z164" s="1936"/>
      <c r="AA164" s="1172"/>
      <c r="AB164" s="1172"/>
      <c r="AC164" s="1172"/>
      <c r="AD164" s="1172"/>
      <c r="AE164" s="1172"/>
      <c r="AF164" s="1172"/>
      <c r="AG164" s="1172"/>
      <c r="AH164" s="1172"/>
      <c r="AJ164" s="1937" t="s">
        <v>591</v>
      </c>
      <c r="AK164" s="1937"/>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025">
        <f>IF($AB$155="N/A",VLOOKUP($B$153,$AO$151:$AP$154,2,FALSE),VLOOKUP($B$158,$AO$156:$AP$158,2,FALSE))</f>
        <v>7</v>
      </c>
      <c r="AK166" s="2025"/>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065" t="s">
        <v>1352</v>
      </c>
      <c r="AG168" s="2065"/>
      <c r="AH168" s="2065"/>
      <c r="AI168" s="2065"/>
      <c r="AJ168" s="2065"/>
      <c r="AK168" s="2065"/>
      <c r="AL168" s="2065"/>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136" t="s">
        <v>1350</v>
      </c>
      <c r="D170" s="2136"/>
      <c r="E170" s="2136"/>
      <c r="F170" s="2136"/>
      <c r="G170" s="2136"/>
      <c r="H170" s="2136"/>
      <c r="I170" s="2136"/>
      <c r="J170" s="2136"/>
      <c r="K170" s="2136"/>
      <c r="L170" s="2136"/>
      <c r="M170" s="2136"/>
      <c r="N170" s="2136"/>
      <c r="O170" s="2136"/>
      <c r="P170" s="2136"/>
      <c r="Q170" s="2136"/>
      <c r="R170" s="2136"/>
      <c r="S170" s="2136"/>
      <c r="T170" s="2136"/>
      <c r="U170" s="2136"/>
      <c r="V170" s="2136"/>
      <c r="W170" s="2136"/>
      <c r="X170" s="2136"/>
      <c r="Y170" s="2136"/>
      <c r="Z170" s="2136"/>
      <c r="AA170" s="2136"/>
      <c r="AB170" s="2136"/>
      <c r="AC170" s="2136"/>
      <c r="AD170" s="2136"/>
      <c r="AE170" s="2136"/>
      <c r="AF170" s="2136"/>
      <c r="AG170" s="2136"/>
      <c r="AH170" s="2136"/>
      <c r="AI170" s="2136"/>
      <c r="AJ170" s="537"/>
      <c r="AK170" s="537"/>
      <c r="AL170" s="537"/>
      <c r="AM170" s="604"/>
      <c r="AN170" s="598"/>
      <c r="AO170" s="477" t="s">
        <v>306</v>
      </c>
      <c r="AP170" s="477"/>
    </row>
    <row r="171" spans="1:42" s="551" customFormat="1" ht="13.0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1937" t="s">
        <v>591</v>
      </c>
      <c r="AG172" s="1937"/>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136" t="s">
        <v>1343</v>
      </c>
      <c r="D174" s="2136"/>
      <c r="E174" s="2136"/>
      <c r="F174" s="2136"/>
      <c r="G174" s="2136"/>
      <c r="H174" s="2136"/>
      <c r="I174" s="2136"/>
      <c r="J174" s="2136"/>
      <c r="K174" s="2136"/>
      <c r="L174" s="2136"/>
      <c r="M174" s="2136"/>
      <c r="N174" s="2136"/>
      <c r="O174" s="2136"/>
      <c r="P174" s="2136"/>
      <c r="Q174" s="2136"/>
      <c r="R174" s="2136"/>
      <c r="S174" s="2136"/>
      <c r="T174" s="2136"/>
      <c r="U174" s="2136"/>
      <c r="V174" s="2136"/>
      <c r="W174" s="2136"/>
      <c r="X174" s="2136"/>
      <c r="Y174" s="2136"/>
      <c r="Z174" s="2136"/>
      <c r="AA174" s="2136"/>
      <c r="AB174" s="2136"/>
      <c r="AC174" s="2136"/>
      <c r="AD174" s="2136"/>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137" t="str">
        <f>Application!AA335</f>
        <v>HumanGood Affordable Housing</v>
      </c>
      <c r="D178" s="2137"/>
      <c r="E178" s="2137"/>
      <c r="F178" s="2137"/>
      <c r="G178" s="2137"/>
      <c r="H178" s="2137"/>
      <c r="I178" s="2137"/>
      <c r="J178" s="2137"/>
      <c r="K178" s="2137"/>
      <c r="L178" s="2137"/>
      <c r="M178" s="2137"/>
      <c r="N178" s="2137"/>
      <c r="O178" s="2137"/>
      <c r="P178" s="2137"/>
      <c r="Q178" s="2137"/>
      <c r="R178" s="2137"/>
      <c r="S178" s="2137"/>
      <c r="T178" s="2137"/>
      <c r="U178" s="2137"/>
      <c r="V178" s="2137"/>
      <c r="W178" s="2137"/>
      <c r="X178" s="2137"/>
      <c r="Y178" s="2137"/>
      <c r="Z178" s="2137"/>
      <c r="AA178" s="2137"/>
      <c r="AB178" s="2137"/>
      <c r="AC178" s="2137"/>
      <c r="AD178" s="2137"/>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024">
        <f>IF($AF$172="N/A",VLOOKUP($C$170,$AO$170:$AP$173,2,FALSE),VLOOKUP($C$174,$AO$177:$AP$179,2,FALSE))</f>
        <v>3</v>
      </c>
      <c r="AK180" s="2024"/>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131">
        <f>$AJ$166+$AJ$180</f>
        <v>10</v>
      </c>
      <c r="AL183" s="2132"/>
      <c r="AM183" s="2133"/>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005" t="s">
        <v>1314</v>
      </c>
      <c r="AF186" s="2005"/>
      <c r="AG186" s="2005"/>
      <c r="AH186" s="2005"/>
      <c r="AI186" s="2005"/>
      <c r="AJ186" s="2005"/>
      <c r="AK186" s="2005"/>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134" t="s">
        <v>1360</v>
      </c>
      <c r="C188" s="2134"/>
      <c r="D188" s="2134"/>
      <c r="E188" s="2134"/>
      <c r="F188" s="2134"/>
      <c r="G188" s="2134"/>
      <c r="H188" s="2134"/>
      <c r="I188" s="2134"/>
      <c r="J188" s="2134"/>
      <c r="K188" s="2134"/>
      <c r="L188" s="2134"/>
      <c r="M188" s="2134"/>
      <c r="N188" s="2134"/>
      <c r="O188" s="2134"/>
      <c r="P188" s="2134"/>
      <c r="Q188" s="2134"/>
      <c r="R188" s="2134"/>
      <c r="S188" s="2134"/>
      <c r="T188" s="2134"/>
      <c r="U188" s="2134"/>
      <c r="V188" s="2134"/>
      <c r="W188" s="2134"/>
      <c r="X188" s="2134"/>
      <c r="Y188" s="2134"/>
      <c r="Z188" s="2134"/>
      <c r="AA188" s="2134"/>
      <c r="AB188" s="2134"/>
      <c r="AC188" s="2134"/>
      <c r="AD188" s="537"/>
      <c r="AE188" s="537"/>
      <c r="AF188" s="2065" t="s">
        <v>1363</v>
      </c>
      <c r="AG188" s="2065"/>
      <c r="AH188" s="2065"/>
      <c r="AI188" s="2065"/>
      <c r="AJ188" s="2065"/>
      <c r="AK188" s="2065"/>
      <c r="AL188" s="2065"/>
      <c r="AN188" s="598"/>
      <c r="AP188" s="551" t="s">
        <v>1043</v>
      </c>
      <c r="AQ188" s="551">
        <v>10</v>
      </c>
    </row>
    <row r="189" spans="1:73" s="551" customFormat="1" ht="12.75" customHeight="1">
      <c r="A189" s="537"/>
      <c r="B189" s="1936" t="s">
        <v>1726</v>
      </c>
      <c r="C189" s="1936"/>
      <c r="D189" s="1936"/>
      <c r="E189" s="1936"/>
      <c r="F189" s="1936"/>
      <c r="G189" s="1936"/>
      <c r="H189" s="1936"/>
      <c r="I189" s="1936"/>
      <c r="J189" s="1936"/>
      <c r="K189" s="1936"/>
      <c r="L189" s="1936"/>
      <c r="M189" s="1936"/>
      <c r="N189" s="1936"/>
      <c r="O189" s="1936"/>
      <c r="P189" s="1936"/>
      <c r="Q189" s="1936"/>
      <c r="R189" s="1936"/>
      <c r="S189" s="1936"/>
      <c r="T189" s="2135" t="s">
        <v>591</v>
      </c>
      <c r="U189" s="2135"/>
      <c r="V189" s="2135"/>
      <c r="W189" s="2135"/>
      <c r="X189" s="2135"/>
      <c r="Y189" s="2135"/>
      <c r="Z189" s="2135"/>
      <c r="AA189" s="2135"/>
      <c r="AB189" s="2135"/>
      <c r="AC189" s="2135"/>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1972">
        <f>IF(AK84&gt;0,VLOOKUP($B$188,AP185:AQ191,2,FALSE),0)</f>
        <v>0</v>
      </c>
      <c r="AL191" s="1973"/>
      <c r="AM191" s="1974"/>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005" t="s">
        <v>1372</v>
      </c>
      <c r="AF194" s="2005"/>
      <c r="AG194" s="2005"/>
      <c r="AH194" s="2005"/>
      <c r="AI194" s="2005"/>
      <c r="AJ194" s="2005"/>
      <c r="AK194" s="2005"/>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128"/>
      <c r="C199" s="2128"/>
      <c r="D199" s="2128"/>
      <c r="E199" s="2128"/>
      <c r="F199" s="2128"/>
      <c r="G199" s="2128"/>
      <c r="H199" s="2128"/>
      <c r="I199" s="2128"/>
      <c r="J199" s="2128"/>
      <c r="K199" s="2128"/>
      <c r="L199" s="2128"/>
      <c r="M199" s="2128"/>
      <c r="N199" s="2128"/>
      <c r="O199" s="2128"/>
      <c r="P199" s="2128"/>
      <c r="Q199" s="2128"/>
      <c r="R199" s="2128"/>
      <c r="S199" s="2128"/>
      <c r="T199" s="2128"/>
      <c r="U199" s="2128"/>
      <c r="V199" s="2128"/>
      <c r="W199" s="2128"/>
      <c r="X199" s="2128"/>
      <c r="Y199" s="2128"/>
      <c r="Z199" s="2128"/>
      <c r="AA199" s="2128"/>
      <c r="AB199" s="2128"/>
      <c r="AC199" s="847"/>
      <c r="AD199" s="2118"/>
      <c r="AE199" s="2118"/>
      <c r="AF199" s="2118"/>
      <c r="AG199" s="2118"/>
      <c r="AH199" s="2118"/>
      <c r="AI199" s="2118"/>
      <c r="AJ199" s="2118"/>
      <c r="AK199" s="611"/>
    </row>
    <row r="200" spans="1:40">
      <c r="A200" s="606"/>
      <c r="B200" s="2128"/>
      <c r="C200" s="2128"/>
      <c r="D200" s="2128"/>
      <c r="E200" s="2128"/>
      <c r="F200" s="2128"/>
      <c r="G200" s="2128"/>
      <c r="H200" s="2128"/>
      <c r="I200" s="2128"/>
      <c r="J200" s="2128"/>
      <c r="K200" s="2128"/>
      <c r="L200" s="2128"/>
      <c r="M200" s="2128"/>
      <c r="N200" s="2128"/>
      <c r="O200" s="2128"/>
      <c r="P200" s="2128"/>
      <c r="Q200" s="2128"/>
      <c r="R200" s="2128"/>
      <c r="S200" s="2128"/>
      <c r="T200" s="2128"/>
      <c r="U200" s="2128"/>
      <c r="V200" s="2128"/>
      <c r="W200" s="2128"/>
      <c r="X200" s="2128"/>
      <c r="Y200" s="2128"/>
      <c r="Z200" s="2128"/>
      <c r="AA200" s="2128"/>
      <c r="AB200" s="2128"/>
      <c r="AC200" s="847"/>
      <c r="AD200" s="2118"/>
      <c r="AE200" s="2118"/>
      <c r="AF200" s="2118"/>
      <c r="AG200" s="2118"/>
      <c r="AH200" s="2118"/>
      <c r="AI200" s="2118"/>
      <c r="AJ200" s="2118"/>
      <c r="AK200" s="611"/>
    </row>
    <row r="201" spans="1:40">
      <c r="A201" s="606"/>
      <c r="B201" s="2128"/>
      <c r="C201" s="2128"/>
      <c r="D201" s="2128"/>
      <c r="E201" s="2128"/>
      <c r="F201" s="2128"/>
      <c r="G201" s="2128"/>
      <c r="H201" s="2128"/>
      <c r="I201" s="2128"/>
      <c r="J201" s="2128"/>
      <c r="K201" s="2128"/>
      <c r="L201" s="2128"/>
      <c r="M201" s="2128"/>
      <c r="N201" s="2128"/>
      <c r="O201" s="2128"/>
      <c r="P201" s="2128"/>
      <c r="Q201" s="2128"/>
      <c r="R201" s="2128"/>
      <c r="S201" s="2128"/>
      <c r="T201" s="2128"/>
      <c r="U201" s="2128"/>
      <c r="V201" s="2128"/>
      <c r="W201" s="2128"/>
      <c r="X201" s="2128"/>
      <c r="Y201" s="2128"/>
      <c r="Z201" s="2128"/>
      <c r="AA201" s="2128"/>
      <c r="AB201" s="2128"/>
      <c r="AC201" s="847"/>
      <c r="AD201" s="2118"/>
      <c r="AE201" s="2118"/>
      <c r="AF201" s="2118"/>
      <c r="AG201" s="2118"/>
      <c r="AH201" s="2118"/>
      <c r="AI201" s="2118"/>
      <c r="AJ201" s="2118"/>
      <c r="AK201" s="611"/>
    </row>
    <row r="202" spans="1:40">
      <c r="A202" s="606"/>
      <c r="B202" s="2128"/>
      <c r="C202" s="2128"/>
      <c r="D202" s="2128"/>
      <c r="E202" s="2128"/>
      <c r="F202" s="2128"/>
      <c r="G202" s="2128"/>
      <c r="H202" s="2128"/>
      <c r="I202" s="2128"/>
      <c r="J202" s="2128"/>
      <c r="K202" s="2128"/>
      <c r="L202" s="2128"/>
      <c r="M202" s="2128"/>
      <c r="N202" s="2128"/>
      <c r="O202" s="2128"/>
      <c r="P202" s="2128"/>
      <c r="Q202" s="2128"/>
      <c r="R202" s="2128"/>
      <c r="S202" s="2128"/>
      <c r="T202" s="2128"/>
      <c r="U202" s="2128"/>
      <c r="V202" s="2128"/>
      <c r="W202" s="2128"/>
      <c r="X202" s="2128"/>
      <c r="Y202" s="2128"/>
      <c r="Z202" s="2128"/>
      <c r="AA202" s="2128"/>
      <c r="AB202" s="2128"/>
      <c r="AC202" s="847"/>
      <c r="AD202" s="2118"/>
      <c r="AE202" s="2118"/>
      <c r="AF202" s="2118"/>
      <c r="AG202" s="2118"/>
      <c r="AH202" s="2118"/>
      <c r="AI202" s="2118"/>
      <c r="AJ202" s="2118"/>
      <c r="AK202" s="611"/>
    </row>
    <row r="203" spans="1:40">
      <c r="A203" s="606"/>
      <c r="B203" s="2128"/>
      <c r="C203" s="2128"/>
      <c r="D203" s="2128"/>
      <c r="E203" s="2128"/>
      <c r="F203" s="2128"/>
      <c r="G203" s="2128"/>
      <c r="H203" s="2128"/>
      <c r="I203" s="2128"/>
      <c r="J203" s="2128"/>
      <c r="K203" s="2128"/>
      <c r="L203" s="2128"/>
      <c r="M203" s="2128"/>
      <c r="N203" s="2128"/>
      <c r="O203" s="2128"/>
      <c r="P203" s="2128"/>
      <c r="Q203" s="2128"/>
      <c r="R203" s="2128"/>
      <c r="S203" s="2128"/>
      <c r="T203" s="2128"/>
      <c r="U203" s="2128"/>
      <c r="V203" s="2128"/>
      <c r="W203" s="2128"/>
      <c r="X203" s="2128"/>
      <c r="Y203" s="2128"/>
      <c r="Z203" s="2128"/>
      <c r="AA203" s="2128"/>
      <c r="AB203" s="2128"/>
      <c r="AC203" s="847"/>
      <c r="AD203" s="2118"/>
      <c r="AE203" s="2118"/>
      <c r="AF203" s="2118"/>
      <c r="AG203" s="2118"/>
      <c r="AH203" s="2118"/>
      <c r="AI203" s="2118"/>
      <c r="AJ203" s="2118"/>
      <c r="AK203" s="611"/>
    </row>
    <row r="204" spans="1:40">
      <c r="A204" s="606"/>
      <c r="B204" s="2128"/>
      <c r="C204" s="2128"/>
      <c r="D204" s="2128"/>
      <c r="E204" s="2128"/>
      <c r="F204" s="2128"/>
      <c r="G204" s="2128"/>
      <c r="H204" s="2128"/>
      <c r="I204" s="2128"/>
      <c r="J204" s="2128"/>
      <c r="K204" s="2128"/>
      <c r="L204" s="2128"/>
      <c r="M204" s="2128"/>
      <c r="N204" s="2128"/>
      <c r="O204" s="2128"/>
      <c r="P204" s="2128"/>
      <c r="Q204" s="2128"/>
      <c r="R204" s="2128"/>
      <c r="S204" s="2128"/>
      <c r="T204" s="2128"/>
      <c r="U204" s="2128"/>
      <c r="V204" s="2128"/>
      <c r="W204" s="2128"/>
      <c r="X204" s="2128"/>
      <c r="Y204" s="2128"/>
      <c r="Z204" s="2128"/>
      <c r="AA204" s="2128"/>
      <c r="AB204" s="2128"/>
      <c r="AC204" s="847"/>
      <c r="AD204" s="2118"/>
      <c r="AE204" s="2118"/>
      <c r="AF204" s="2118"/>
      <c r="AG204" s="2118"/>
      <c r="AH204" s="2118"/>
      <c r="AI204" s="2118"/>
      <c r="AJ204" s="2118"/>
      <c r="AK204" s="611"/>
    </row>
    <row r="205" spans="1:40">
      <c r="A205" s="606"/>
      <c r="B205" s="2128"/>
      <c r="C205" s="2128"/>
      <c r="D205" s="2128"/>
      <c r="E205" s="2128"/>
      <c r="F205" s="2128"/>
      <c r="G205" s="2128"/>
      <c r="H205" s="2128"/>
      <c r="I205" s="2128"/>
      <c r="J205" s="2128"/>
      <c r="K205" s="2128"/>
      <c r="L205" s="2128"/>
      <c r="M205" s="2128"/>
      <c r="N205" s="2128"/>
      <c r="O205" s="2128"/>
      <c r="P205" s="2128"/>
      <c r="Q205" s="2128"/>
      <c r="R205" s="2128"/>
      <c r="S205" s="2128"/>
      <c r="T205" s="2128"/>
      <c r="U205" s="2128"/>
      <c r="V205" s="2128"/>
      <c r="W205" s="2128"/>
      <c r="X205" s="2128"/>
      <c r="Y205" s="2128"/>
      <c r="Z205" s="2128"/>
      <c r="AA205" s="2128"/>
      <c r="AB205" s="2128"/>
      <c r="AC205" s="847"/>
      <c r="AD205" s="2118"/>
      <c r="AE205" s="2118"/>
      <c r="AF205" s="2118"/>
      <c r="AG205" s="2118"/>
      <c r="AH205" s="2118"/>
      <c r="AI205" s="2118"/>
      <c r="AJ205" s="2118"/>
      <c r="AK205" s="611"/>
    </row>
    <row r="206" spans="1:40">
      <c r="A206" s="606"/>
      <c r="B206" s="2128"/>
      <c r="C206" s="2128"/>
      <c r="D206" s="2128"/>
      <c r="E206" s="2128"/>
      <c r="F206" s="2128"/>
      <c r="G206" s="2128"/>
      <c r="H206" s="2128"/>
      <c r="I206" s="2128"/>
      <c r="J206" s="2128"/>
      <c r="K206" s="2128"/>
      <c r="L206" s="2128"/>
      <c r="M206" s="2128"/>
      <c r="N206" s="2128"/>
      <c r="O206" s="2128"/>
      <c r="P206" s="2128"/>
      <c r="Q206" s="2128"/>
      <c r="R206" s="2128"/>
      <c r="S206" s="2128"/>
      <c r="T206" s="2128"/>
      <c r="U206" s="2128"/>
      <c r="V206" s="2128"/>
      <c r="W206" s="2128"/>
      <c r="X206" s="2128"/>
      <c r="Y206" s="2128"/>
      <c r="Z206" s="2128"/>
      <c r="AA206" s="2128"/>
      <c r="AB206" s="2128"/>
      <c r="AC206" s="847"/>
      <c r="AD206" s="2118"/>
      <c r="AE206" s="2118"/>
      <c r="AF206" s="2118"/>
      <c r="AG206" s="2118"/>
      <c r="AH206" s="2118"/>
      <c r="AI206" s="2118"/>
      <c r="AJ206" s="2118"/>
      <c r="AK206" s="611"/>
    </row>
    <row r="207" spans="1:40">
      <c r="A207" s="606"/>
      <c r="B207" s="2128"/>
      <c r="C207" s="2128"/>
      <c r="D207" s="2128"/>
      <c r="E207" s="2128"/>
      <c r="F207" s="2128"/>
      <c r="G207" s="2128"/>
      <c r="H207" s="2128"/>
      <c r="I207" s="2128"/>
      <c r="J207" s="2128"/>
      <c r="K207" s="2128"/>
      <c r="L207" s="2128"/>
      <c r="M207" s="2128"/>
      <c r="N207" s="2128"/>
      <c r="O207" s="2128"/>
      <c r="P207" s="2128"/>
      <c r="Q207" s="2128"/>
      <c r="R207" s="2128"/>
      <c r="S207" s="2128"/>
      <c r="T207" s="2128"/>
      <c r="U207" s="2128"/>
      <c r="V207" s="2128"/>
      <c r="W207" s="2128"/>
      <c r="X207" s="2128"/>
      <c r="Y207" s="2128"/>
      <c r="Z207" s="2128"/>
      <c r="AA207" s="2128"/>
      <c r="AB207" s="2128"/>
      <c r="AC207" s="847"/>
      <c r="AD207" s="2118"/>
      <c r="AE207" s="2118"/>
      <c r="AF207" s="2118"/>
      <c r="AG207" s="2118"/>
      <c r="AH207" s="2118"/>
      <c r="AI207" s="2118"/>
      <c r="AJ207" s="2118"/>
      <c r="AK207" s="611"/>
    </row>
    <row r="208" spans="1:40">
      <c r="A208" s="606"/>
      <c r="B208" s="2128"/>
      <c r="C208" s="2128"/>
      <c r="D208" s="2128"/>
      <c r="E208" s="2128"/>
      <c r="F208" s="2128"/>
      <c r="G208" s="2128"/>
      <c r="H208" s="2128"/>
      <c r="I208" s="2128"/>
      <c r="J208" s="2128"/>
      <c r="K208" s="2128"/>
      <c r="L208" s="2128"/>
      <c r="M208" s="2128"/>
      <c r="N208" s="2128"/>
      <c r="O208" s="2128"/>
      <c r="P208" s="2128"/>
      <c r="Q208" s="2128"/>
      <c r="R208" s="2128"/>
      <c r="S208" s="2128"/>
      <c r="T208" s="2128"/>
      <c r="U208" s="2128"/>
      <c r="V208" s="2128"/>
      <c r="W208" s="2128"/>
      <c r="X208" s="2128"/>
      <c r="Y208" s="2128"/>
      <c r="Z208" s="2128"/>
      <c r="AA208" s="2128"/>
      <c r="AB208" s="2128"/>
      <c r="AC208" s="847"/>
      <c r="AD208" s="2118"/>
      <c r="AE208" s="2118"/>
      <c r="AF208" s="2118"/>
      <c r="AG208" s="2118"/>
      <c r="AH208" s="2118"/>
      <c r="AI208" s="2118"/>
      <c r="AJ208" s="2118"/>
      <c r="AK208" s="611"/>
    </row>
    <row r="209" spans="1:37">
      <c r="A209" s="606"/>
      <c r="B209" s="2143" t="s">
        <v>1627</v>
      </c>
      <c r="C209" s="2143"/>
      <c r="D209" s="2143"/>
      <c r="E209" s="2143"/>
      <c r="F209" s="2143"/>
      <c r="G209" s="2143"/>
      <c r="H209" s="2143"/>
      <c r="I209" s="2143"/>
      <c r="J209" s="2143"/>
      <c r="K209" s="2143"/>
      <c r="L209" s="2143"/>
      <c r="M209" s="2143"/>
      <c r="N209" s="2143"/>
      <c r="O209" s="2143"/>
      <c r="P209" s="2143"/>
      <c r="Q209" s="2143"/>
      <c r="R209" s="2143"/>
      <c r="S209" s="2143"/>
      <c r="T209" s="2143"/>
      <c r="U209" s="2143"/>
      <c r="V209" s="2143"/>
      <c r="W209" s="2143"/>
      <c r="X209" s="2143"/>
      <c r="Y209" s="2143"/>
      <c r="Z209" s="2143"/>
      <c r="AA209" s="2143"/>
      <c r="AB209" s="2143"/>
      <c r="AC209" s="537"/>
      <c r="AD209" s="2116">
        <f>AB260</f>
        <v>6719255.5155193312</v>
      </c>
      <c r="AE209" s="2116"/>
      <c r="AF209" s="2116"/>
      <c r="AG209" s="2116"/>
      <c r="AH209" s="2116"/>
      <c r="AI209" s="2116"/>
      <c r="AJ209" s="2116"/>
      <c r="AK209" s="611"/>
    </row>
    <row r="210" spans="1:37">
      <c r="A210" s="606"/>
      <c r="B210" s="1990" t="s">
        <v>1590</v>
      </c>
      <c r="C210" s="1990"/>
      <c r="D210" s="1990"/>
      <c r="E210" s="1990"/>
      <c r="F210" s="1990"/>
      <c r="G210" s="1990"/>
      <c r="H210" s="1990"/>
      <c r="I210" s="1990"/>
      <c r="J210" s="1990"/>
      <c r="K210" s="1990"/>
      <c r="L210" s="1990"/>
      <c r="M210" s="1990"/>
      <c r="N210" s="1990"/>
      <c r="O210" s="1990"/>
      <c r="P210" s="1990"/>
      <c r="Q210" s="1990"/>
      <c r="R210" s="1990"/>
      <c r="S210" s="1990"/>
      <c r="T210" s="1990"/>
      <c r="U210" s="1990"/>
      <c r="V210" s="1990"/>
      <c r="W210" s="1990"/>
      <c r="X210" s="1990"/>
      <c r="Y210" s="1990"/>
      <c r="Z210" s="1990"/>
      <c r="AA210" s="1990"/>
      <c r="AB210" s="1990"/>
      <c r="AC210" s="847"/>
      <c r="AD210" s="2117">
        <f>'Sources and Uses Budget'!B15</f>
        <v>0</v>
      </c>
      <c r="AE210" s="2117"/>
      <c r="AF210" s="2117"/>
      <c r="AG210" s="2117"/>
      <c r="AH210" s="2117"/>
      <c r="AI210" s="2117"/>
      <c r="AJ210" s="2117"/>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122">
        <f>SUM(AD199:AJ209)-AD210</f>
        <v>6719255.5155193312</v>
      </c>
      <c r="AE211" s="2122"/>
      <c r="AF211" s="2122"/>
      <c r="AG211" s="2122"/>
      <c r="AH211" s="2122"/>
      <c r="AI211" s="2122"/>
      <c r="AJ211" s="2122"/>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141" t="s">
        <v>1607</v>
      </c>
      <c r="J222" s="2141"/>
      <c r="K222" s="2141"/>
      <c r="L222" s="537"/>
      <c r="M222" s="537"/>
      <c r="N222" s="537"/>
      <c r="O222" s="537"/>
      <c r="P222" s="537"/>
      <c r="Q222" s="537"/>
      <c r="R222" s="537"/>
      <c r="S222" s="537"/>
      <c r="T222" s="1956" t="s">
        <v>1601</v>
      </c>
      <c r="U222" s="1956"/>
      <c r="V222" s="1956"/>
      <c r="W222" s="1956"/>
      <c r="X222" s="1956"/>
      <c r="Y222" s="1956"/>
      <c r="Z222" s="850"/>
      <c r="AA222" s="490"/>
      <c r="AB222" s="2138" t="s">
        <v>1602</v>
      </c>
      <c r="AC222" s="2138"/>
      <c r="AD222" s="2138"/>
      <c r="AE222" s="2138"/>
      <c r="AF222" s="2138"/>
      <c r="AG222" s="2138"/>
      <c r="AH222" s="828"/>
      <c r="AI222" s="828"/>
      <c r="AJ222" s="828"/>
      <c r="AK222" s="611"/>
    </row>
    <row r="223" spans="1:37">
      <c r="A223" s="606"/>
      <c r="B223" s="2139" t="s">
        <v>1587</v>
      </c>
      <c r="C223" s="2139"/>
      <c r="D223" s="2139"/>
      <c r="E223" s="2139"/>
      <c r="F223" s="2139"/>
      <c r="G223" s="2139"/>
      <c r="I223" s="2140" t="s">
        <v>1608</v>
      </c>
      <c r="J223" s="2140"/>
      <c r="K223" s="2140"/>
      <c r="L223" s="1009"/>
      <c r="N223" s="1991" t="s">
        <v>1603</v>
      </c>
      <c r="O223" s="1991"/>
      <c r="P223" s="1991"/>
      <c r="Q223" s="1991"/>
      <c r="R223" s="1991"/>
      <c r="T223" s="1991" t="s">
        <v>1604</v>
      </c>
      <c r="U223" s="1991"/>
      <c r="V223" s="1991"/>
      <c r="W223" s="1991"/>
      <c r="X223" s="1991"/>
      <c r="Y223" s="1991"/>
      <c r="Z223" s="851"/>
      <c r="AA223" s="490"/>
      <c r="AB223" s="2006" t="s">
        <v>1605</v>
      </c>
      <c r="AC223" s="2006"/>
      <c r="AD223" s="2006"/>
      <c r="AE223" s="2006"/>
      <c r="AF223" s="2006"/>
      <c r="AG223" s="2006"/>
      <c r="AH223" s="828"/>
      <c r="AI223" s="828"/>
      <c r="AJ223" s="828"/>
      <c r="AK223" s="611"/>
    </row>
    <row r="224" spans="1:37">
      <c r="A224" s="606"/>
      <c r="B224" s="2007" t="s">
        <v>2735</v>
      </c>
      <c r="C224" s="2007"/>
      <c r="D224" s="2007"/>
      <c r="E224" s="2007"/>
      <c r="F224" s="2007"/>
      <c r="G224" s="2007"/>
      <c r="H224" s="853"/>
      <c r="I224" s="1960">
        <v>63</v>
      </c>
      <c r="J224" s="1960"/>
      <c r="K224" s="1960"/>
      <c r="L224" s="1009"/>
      <c r="N224" s="1958">
        <v>1040</v>
      </c>
      <c r="O224" s="1958"/>
      <c r="P224" s="1958"/>
      <c r="Q224" s="1958"/>
      <c r="R224" s="1958"/>
      <c r="T224" s="1957">
        <v>1995</v>
      </c>
      <c r="U224" s="1957"/>
      <c r="V224" s="1957"/>
      <c r="W224" s="1957"/>
      <c r="X224" s="1957"/>
      <c r="Y224" s="1957"/>
      <c r="Z224" s="852"/>
      <c r="AA224" s="852"/>
      <c r="AB224" s="1955">
        <f t="shared" ref="AB224:AB233" si="0">MAX(($T224-$N224)*$I224*12,0)</f>
        <v>721980</v>
      </c>
      <c r="AC224" s="1955"/>
      <c r="AD224" s="1955"/>
      <c r="AE224" s="1955"/>
      <c r="AF224" s="1955"/>
      <c r="AG224" s="1955"/>
      <c r="AH224" s="828"/>
      <c r="AI224" s="828"/>
      <c r="AJ224" s="828"/>
      <c r="AK224" s="611"/>
    </row>
    <row r="225" spans="1:37">
      <c r="A225" s="606"/>
      <c r="B225" s="2007" t="s">
        <v>1184</v>
      </c>
      <c r="C225" s="2007"/>
      <c r="D225" s="2007"/>
      <c r="E225" s="2007"/>
      <c r="F225" s="2007"/>
      <c r="G225" s="2007"/>
      <c r="I225" s="1960"/>
      <c r="J225" s="1960"/>
      <c r="K225" s="1960"/>
      <c r="L225" s="1009"/>
      <c r="N225" s="1958"/>
      <c r="O225" s="1958"/>
      <c r="P225" s="1958"/>
      <c r="Q225" s="1958"/>
      <c r="R225" s="1958"/>
      <c r="T225" s="1957"/>
      <c r="U225" s="1957"/>
      <c r="V225" s="1957"/>
      <c r="W225" s="1957"/>
      <c r="X225" s="1957"/>
      <c r="Y225" s="1957"/>
      <c r="Z225" s="852"/>
      <c r="AA225" s="852"/>
      <c r="AB225" s="1955">
        <f t="shared" si="0"/>
        <v>0</v>
      </c>
      <c r="AC225" s="1955"/>
      <c r="AD225" s="1955"/>
      <c r="AE225" s="1955"/>
      <c r="AF225" s="1955"/>
      <c r="AG225" s="1955"/>
      <c r="AH225" s="828"/>
      <c r="AI225" s="828"/>
      <c r="AJ225" s="828"/>
      <c r="AK225" s="611"/>
    </row>
    <row r="226" spans="1:37">
      <c r="A226" s="606"/>
      <c r="B226" s="2007" t="s">
        <v>1184</v>
      </c>
      <c r="C226" s="2007"/>
      <c r="D226" s="2007"/>
      <c r="E226" s="2007"/>
      <c r="F226" s="2007"/>
      <c r="G226" s="2007"/>
      <c r="I226" s="1960"/>
      <c r="J226" s="1960"/>
      <c r="K226" s="1960"/>
      <c r="L226" s="1009"/>
      <c r="N226" s="1958"/>
      <c r="O226" s="1958"/>
      <c r="P226" s="1958"/>
      <c r="Q226" s="1958"/>
      <c r="R226" s="1958"/>
      <c r="T226" s="1957"/>
      <c r="U226" s="1957"/>
      <c r="V226" s="1957"/>
      <c r="W226" s="1957"/>
      <c r="X226" s="1957"/>
      <c r="Y226" s="1957"/>
      <c r="Z226" s="852"/>
      <c r="AA226" s="852"/>
      <c r="AB226" s="1955">
        <f t="shared" si="0"/>
        <v>0</v>
      </c>
      <c r="AC226" s="1955"/>
      <c r="AD226" s="1955"/>
      <c r="AE226" s="1955"/>
      <c r="AF226" s="1955"/>
      <c r="AG226" s="1955"/>
      <c r="AH226" s="828"/>
      <c r="AI226" s="828"/>
      <c r="AJ226" s="828"/>
      <c r="AK226" s="611"/>
    </row>
    <row r="227" spans="1:37">
      <c r="A227" s="606"/>
      <c r="B227" s="2007" t="s">
        <v>1184</v>
      </c>
      <c r="C227" s="2007"/>
      <c r="D227" s="2007"/>
      <c r="E227" s="2007"/>
      <c r="F227" s="2007"/>
      <c r="G227" s="2007"/>
      <c r="I227" s="1960"/>
      <c r="J227" s="1960"/>
      <c r="K227" s="1960"/>
      <c r="L227" s="1009"/>
      <c r="N227" s="1958"/>
      <c r="O227" s="1958"/>
      <c r="P227" s="1958"/>
      <c r="Q227" s="1958"/>
      <c r="R227" s="1958"/>
      <c r="T227" s="1957"/>
      <c r="U227" s="1957"/>
      <c r="V227" s="1957"/>
      <c r="W227" s="1957"/>
      <c r="X227" s="1957"/>
      <c r="Y227" s="1957"/>
      <c r="Z227" s="852"/>
      <c r="AA227" s="852"/>
      <c r="AB227" s="1955">
        <f t="shared" si="0"/>
        <v>0</v>
      </c>
      <c r="AC227" s="1955"/>
      <c r="AD227" s="1955"/>
      <c r="AE227" s="1955"/>
      <c r="AF227" s="1955"/>
      <c r="AG227" s="1955"/>
      <c r="AH227" s="828"/>
      <c r="AI227" s="828"/>
      <c r="AJ227" s="828"/>
      <c r="AK227" s="611"/>
    </row>
    <row r="228" spans="1:37">
      <c r="A228" s="606"/>
      <c r="B228" s="2007" t="s">
        <v>1184</v>
      </c>
      <c r="C228" s="2007"/>
      <c r="D228" s="2007"/>
      <c r="E228" s="2007"/>
      <c r="F228" s="2007"/>
      <c r="G228" s="2007"/>
      <c r="I228" s="1960"/>
      <c r="J228" s="1960"/>
      <c r="K228" s="1960"/>
      <c r="L228" s="1016"/>
      <c r="N228" s="1958"/>
      <c r="O228" s="1958"/>
      <c r="P228" s="1958"/>
      <c r="Q228" s="1958"/>
      <c r="R228" s="1958"/>
      <c r="T228" s="1957"/>
      <c r="U228" s="1957"/>
      <c r="V228" s="1957"/>
      <c r="W228" s="1957"/>
      <c r="X228" s="1957"/>
      <c r="Y228" s="1957"/>
      <c r="Z228" s="852"/>
      <c r="AA228" s="852"/>
      <c r="AB228" s="1955">
        <f t="shared" si="0"/>
        <v>0</v>
      </c>
      <c r="AC228" s="1955"/>
      <c r="AD228" s="1955"/>
      <c r="AE228" s="1955"/>
      <c r="AF228" s="1955"/>
      <c r="AG228" s="1955"/>
      <c r="AH228" s="828"/>
      <c r="AI228" s="828"/>
      <c r="AJ228" s="828"/>
      <c r="AK228" s="611"/>
    </row>
    <row r="229" spans="1:37">
      <c r="A229" s="606"/>
      <c r="B229" s="2007" t="s">
        <v>1184</v>
      </c>
      <c r="C229" s="2007"/>
      <c r="D229" s="2007"/>
      <c r="E229" s="2007"/>
      <c r="F229" s="2007"/>
      <c r="G229" s="2007"/>
      <c r="I229" s="1960"/>
      <c r="J229" s="1960"/>
      <c r="K229" s="1960"/>
      <c r="L229" s="1016"/>
      <c r="N229" s="1958"/>
      <c r="O229" s="1958"/>
      <c r="P229" s="1958"/>
      <c r="Q229" s="1958"/>
      <c r="R229" s="1958"/>
      <c r="T229" s="1957"/>
      <c r="U229" s="1957"/>
      <c r="V229" s="1957"/>
      <c r="W229" s="1957"/>
      <c r="X229" s="1957"/>
      <c r="Y229" s="1957"/>
      <c r="Z229" s="852"/>
      <c r="AA229" s="852"/>
      <c r="AB229" s="1955">
        <f t="shared" si="0"/>
        <v>0</v>
      </c>
      <c r="AC229" s="1955"/>
      <c r="AD229" s="1955"/>
      <c r="AE229" s="1955"/>
      <c r="AF229" s="1955"/>
      <c r="AG229" s="1955"/>
      <c r="AH229" s="828"/>
      <c r="AI229" s="828"/>
      <c r="AJ229" s="828"/>
      <c r="AK229" s="611"/>
    </row>
    <row r="230" spans="1:37">
      <c r="A230" s="606"/>
      <c r="B230" s="2007" t="s">
        <v>1184</v>
      </c>
      <c r="C230" s="2007"/>
      <c r="D230" s="2007"/>
      <c r="E230" s="2007"/>
      <c r="F230" s="2007"/>
      <c r="G230" s="2007"/>
      <c r="I230" s="1960"/>
      <c r="J230" s="1960"/>
      <c r="K230" s="1960"/>
      <c r="L230" s="1016"/>
      <c r="N230" s="1958"/>
      <c r="O230" s="1958"/>
      <c r="P230" s="1958"/>
      <c r="Q230" s="1958"/>
      <c r="R230" s="1958"/>
      <c r="T230" s="1957"/>
      <c r="U230" s="1957"/>
      <c r="V230" s="1957"/>
      <c r="W230" s="1957"/>
      <c r="X230" s="1957"/>
      <c r="Y230" s="1957"/>
      <c r="Z230" s="852"/>
      <c r="AA230" s="852"/>
      <c r="AB230" s="1955">
        <f t="shared" si="0"/>
        <v>0</v>
      </c>
      <c r="AC230" s="1955"/>
      <c r="AD230" s="1955"/>
      <c r="AE230" s="1955"/>
      <c r="AF230" s="1955"/>
      <c r="AG230" s="1955"/>
      <c r="AH230" s="828"/>
      <c r="AI230" s="828"/>
      <c r="AJ230" s="828"/>
      <c r="AK230" s="611"/>
    </row>
    <row r="231" spans="1:37">
      <c r="A231" s="606"/>
      <c r="B231" s="2007" t="s">
        <v>1184</v>
      </c>
      <c r="C231" s="2007"/>
      <c r="D231" s="2007"/>
      <c r="E231" s="2007"/>
      <c r="F231" s="2007"/>
      <c r="G231" s="2007"/>
      <c r="I231" s="1960"/>
      <c r="J231" s="1960"/>
      <c r="K231" s="1960"/>
      <c r="L231" s="1016"/>
      <c r="N231" s="1958"/>
      <c r="O231" s="1958"/>
      <c r="P231" s="1958"/>
      <c r="Q231" s="1958"/>
      <c r="R231" s="1958"/>
      <c r="T231" s="1957"/>
      <c r="U231" s="1957"/>
      <c r="V231" s="1957"/>
      <c r="W231" s="1957"/>
      <c r="X231" s="1957"/>
      <c r="Y231" s="1957"/>
      <c r="Z231" s="852"/>
      <c r="AA231" s="852"/>
      <c r="AB231" s="1955">
        <f t="shared" si="0"/>
        <v>0</v>
      </c>
      <c r="AC231" s="1955"/>
      <c r="AD231" s="1955"/>
      <c r="AE231" s="1955"/>
      <c r="AF231" s="1955"/>
      <c r="AG231" s="1955"/>
      <c r="AH231" s="828"/>
      <c r="AI231" s="828"/>
      <c r="AJ231" s="828"/>
      <c r="AK231" s="611"/>
    </row>
    <row r="232" spans="1:37">
      <c r="A232" s="606"/>
      <c r="B232" s="2007" t="s">
        <v>1184</v>
      </c>
      <c r="C232" s="2007"/>
      <c r="D232" s="2007"/>
      <c r="E232" s="2007"/>
      <c r="F232" s="2007"/>
      <c r="G232" s="2007"/>
      <c r="I232" s="1960"/>
      <c r="J232" s="1960"/>
      <c r="K232" s="1960"/>
      <c r="L232" s="1016"/>
      <c r="N232" s="1958"/>
      <c r="O232" s="1958"/>
      <c r="P232" s="1958"/>
      <c r="Q232" s="1958"/>
      <c r="R232" s="1958"/>
      <c r="T232" s="1957"/>
      <c r="U232" s="1957"/>
      <c r="V232" s="1957"/>
      <c r="W232" s="1957"/>
      <c r="X232" s="1957"/>
      <c r="Y232" s="1957"/>
      <c r="Z232" s="852"/>
      <c r="AA232" s="852"/>
      <c r="AB232" s="1955">
        <f t="shared" si="0"/>
        <v>0</v>
      </c>
      <c r="AC232" s="1955"/>
      <c r="AD232" s="1955"/>
      <c r="AE232" s="1955"/>
      <c r="AF232" s="1955"/>
      <c r="AG232" s="1955"/>
      <c r="AH232" s="828"/>
      <c r="AI232" s="828"/>
      <c r="AJ232" s="828"/>
      <c r="AK232" s="611"/>
    </row>
    <row r="233" spans="1:37">
      <c r="A233" s="606"/>
      <c r="B233" s="2007" t="s">
        <v>1184</v>
      </c>
      <c r="C233" s="2007"/>
      <c r="D233" s="2007"/>
      <c r="E233" s="2007"/>
      <c r="F233" s="2007"/>
      <c r="G233" s="2007"/>
      <c r="I233" s="2142"/>
      <c r="J233" s="2142"/>
      <c r="K233" s="2142"/>
      <c r="L233" s="1016"/>
      <c r="N233" s="1958"/>
      <c r="O233" s="1958"/>
      <c r="P233" s="1958"/>
      <c r="Q233" s="1958"/>
      <c r="R233" s="1958"/>
      <c r="T233" s="1957"/>
      <c r="U233" s="1957"/>
      <c r="V233" s="1957"/>
      <c r="W233" s="1957"/>
      <c r="X233" s="1957"/>
      <c r="Y233" s="1957"/>
      <c r="Z233" s="852"/>
      <c r="AA233" s="852"/>
      <c r="AB233" s="1961">
        <f t="shared" si="0"/>
        <v>0</v>
      </c>
      <c r="AC233" s="1961"/>
      <c r="AD233" s="1961"/>
      <c r="AE233" s="1961"/>
      <c r="AF233" s="1961"/>
      <c r="AG233" s="1961"/>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1955">
        <f>SUM(AB224:AB233)</f>
        <v>721980</v>
      </c>
      <c r="AC234" s="1955"/>
      <c r="AD234" s="1955"/>
      <c r="AE234" s="1955"/>
      <c r="AF234" s="1955"/>
      <c r="AG234" s="1955"/>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1992"/>
      <c r="AC240" s="1992"/>
      <c r="AD240" s="1992"/>
      <c r="AE240" s="1992"/>
      <c r="AF240" s="1992"/>
      <c r="AG240" s="1992"/>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1992"/>
      <c r="AC243" s="1992"/>
      <c r="AD243" s="1992"/>
      <c r="AE243" s="1992"/>
      <c r="AF243" s="1992"/>
      <c r="AG243" s="1992"/>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1954"/>
      <c r="AC244" s="1954"/>
      <c r="AD244" s="1954"/>
      <c r="AE244" s="1954"/>
      <c r="AF244" s="1954"/>
      <c r="AG244" s="1954"/>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1962">
        <f>IFERROR(AB243/AB244,0)</f>
        <v>0</v>
      </c>
      <c r="AC245" s="1962"/>
      <c r="AD245" s="1962"/>
      <c r="AE245" s="1962"/>
      <c r="AF245" s="1962"/>
      <c r="AG245" s="1962"/>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1961">
        <f>MAX(AB240,AB245)</f>
        <v>0</v>
      </c>
      <c r="AC247" s="1961"/>
      <c r="AD247" s="1961"/>
      <c r="AE247" s="1961"/>
      <c r="AF247" s="1961"/>
      <c r="AG247" s="1961"/>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1955">
        <f>AB234+AB247</f>
        <v>721980</v>
      </c>
      <c r="AC250" s="1955"/>
      <c r="AD250" s="1955"/>
      <c r="AE250" s="1955"/>
      <c r="AF250" s="1955"/>
      <c r="AG250" s="1955"/>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126">
        <v>0.05</v>
      </c>
      <c r="AC251" s="2126"/>
      <c r="AD251" s="2126"/>
      <c r="AE251" s="2126"/>
      <c r="AF251" s="2126"/>
      <c r="AG251" s="2126"/>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127">
        <f>AB250-(AB250*AB251)</f>
        <v>685881</v>
      </c>
      <c r="AC252" s="2127"/>
      <c r="AD252" s="2127"/>
      <c r="AE252" s="2127"/>
      <c r="AF252" s="2127"/>
      <c r="AG252" s="2127"/>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1955">
        <f>AB252/AB258</f>
        <v>596418.2608695653</v>
      </c>
      <c r="AC254" s="1955"/>
      <c r="AD254" s="1955"/>
      <c r="AE254" s="1955"/>
      <c r="AF254" s="1955"/>
      <c r="AG254" s="1955"/>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138">
        <v>15</v>
      </c>
      <c r="AC256" s="2138"/>
      <c r="AD256" s="2138"/>
      <c r="AE256" s="2138"/>
      <c r="AF256" s="2138"/>
      <c r="AG256" s="2138"/>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129">
        <v>0.04</v>
      </c>
      <c r="AC257" s="2129"/>
      <c r="AD257" s="2129"/>
      <c r="AE257" s="2129"/>
      <c r="AF257" s="2129"/>
      <c r="AG257" s="2129"/>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130">
        <v>1.1499999999999999</v>
      </c>
      <c r="AC258" s="2130"/>
      <c r="AD258" s="2130"/>
      <c r="AE258" s="2130"/>
      <c r="AF258" s="2130"/>
      <c r="AG258" s="2130"/>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119">
        <f>PV(AB257/12,AB256*12,-AB254/12, ,0)</f>
        <v>6719255.5155193312</v>
      </c>
      <c r="AC260" s="2120"/>
      <c r="AD260" s="2120"/>
      <c r="AE260" s="2120"/>
      <c r="AF260" s="2120"/>
      <c r="AG260" s="2121"/>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123">
        <f>IFERROR(('Sources and Uses Budget'!D105/'Sources and Uses Budget'!B105),0)</f>
        <v>0</v>
      </c>
      <c r="AC266" s="2124"/>
      <c r="AD266" s="2124"/>
      <c r="AE266" s="2124"/>
      <c r="AF266" s="2124"/>
      <c r="AG266" s="2125"/>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1969">
        <f>AD211*(1-AB266)</f>
        <v>6719255.5155193312</v>
      </c>
      <c r="AH268" s="1969"/>
      <c r="AI268" s="1969"/>
      <c r="AJ268" s="1969"/>
      <c r="AK268" s="1969"/>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1969">
        <f>'Sources and Uses Budget'!C105</f>
        <v>43264841</v>
      </c>
      <c r="AH269" s="1969"/>
      <c r="AI269" s="1969"/>
      <c r="AJ269" s="1969"/>
      <c r="AK269" s="1969"/>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115">
        <f>ROUNDDOWN(IF(AND(C292="Yes",AK84=10),((AG268*2)/AG269),AG268/AG269),2)</f>
        <v>0.15</v>
      </c>
      <c r="AH270" s="2115"/>
      <c r="AI270" s="2115"/>
      <c r="AJ270" s="2115"/>
      <c r="AK270" s="2115"/>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104">
        <f>IFERROR(IF(AG270=0,0,IF((AG270*100)&gt;8,8,(AG270*100))),0)</f>
        <v>8</v>
      </c>
      <c r="AL273" s="2104"/>
      <c r="AM273" s="2105"/>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8" customHeight="1">
      <c r="A278" s="551"/>
      <c r="B278" s="597"/>
      <c r="C278" s="1986" t="s">
        <v>545</v>
      </c>
      <c r="D278" s="1986"/>
      <c r="E278" s="548"/>
      <c r="F278" s="1938" t="s">
        <v>2026</v>
      </c>
      <c r="G278" s="1939"/>
      <c r="H278" s="1939"/>
      <c r="I278" s="1939"/>
      <c r="J278" s="1939"/>
      <c r="K278" s="1939"/>
      <c r="L278" s="1939"/>
      <c r="M278" s="1939"/>
      <c r="N278" s="1939"/>
      <c r="O278" s="1939"/>
      <c r="P278" s="1939"/>
      <c r="Q278" s="1939"/>
      <c r="R278" s="1939"/>
      <c r="S278" s="1939"/>
      <c r="T278" s="1939"/>
      <c r="U278" s="1939"/>
      <c r="V278" s="1939"/>
      <c r="W278" s="1939"/>
      <c r="X278" s="1939"/>
      <c r="Y278" s="1939"/>
      <c r="Z278" s="1939"/>
      <c r="AA278" s="1939"/>
      <c r="AB278" s="1939"/>
      <c r="AC278" s="1939"/>
      <c r="AD278" s="1940"/>
      <c r="AE278" s="551"/>
      <c r="AF278" s="636"/>
      <c r="AG278" s="2113" t="s">
        <v>1363</v>
      </c>
      <c r="AH278" s="2113"/>
      <c r="AI278" s="2113"/>
      <c r="AJ278" s="2113"/>
      <c r="AK278" s="551"/>
      <c r="AL278" s="551"/>
      <c r="AM278" s="551"/>
      <c r="AO278" s="551"/>
    </row>
    <row r="279" spans="1:52" ht="13.8" customHeight="1">
      <c r="A279" s="551"/>
      <c r="B279" s="597"/>
      <c r="C279" s="637"/>
      <c r="D279" s="551"/>
      <c r="E279" s="548"/>
      <c r="F279" s="1941"/>
      <c r="G279" s="1942"/>
      <c r="H279" s="1942"/>
      <c r="I279" s="1942"/>
      <c r="J279" s="1942"/>
      <c r="K279" s="1942"/>
      <c r="L279" s="1942"/>
      <c r="M279" s="1942"/>
      <c r="N279" s="1942"/>
      <c r="O279" s="1942"/>
      <c r="P279" s="1942"/>
      <c r="Q279" s="1942"/>
      <c r="R279" s="1942"/>
      <c r="S279" s="1942"/>
      <c r="T279" s="1942"/>
      <c r="U279" s="1942"/>
      <c r="V279" s="1942"/>
      <c r="W279" s="1942"/>
      <c r="X279" s="1942"/>
      <c r="Y279" s="1942"/>
      <c r="Z279" s="1942"/>
      <c r="AA279" s="1942"/>
      <c r="AB279" s="1942"/>
      <c r="AC279" s="1942"/>
      <c r="AD279" s="1943"/>
      <c r="AE279" s="551"/>
      <c r="AF279" s="636"/>
      <c r="AG279" s="636"/>
      <c r="AH279" s="636"/>
      <c r="AI279" s="636"/>
      <c r="AJ279" s="551"/>
      <c r="AK279" s="551"/>
      <c r="AL279" s="551"/>
      <c r="AM279" s="551"/>
      <c r="AO279" s="551"/>
    </row>
    <row r="280" spans="1:52">
      <c r="A280" s="551"/>
      <c r="B280" s="597"/>
      <c r="C280" s="637"/>
      <c r="D280" s="551"/>
      <c r="E280" s="548"/>
      <c r="F280" s="1941"/>
      <c r="G280" s="1942"/>
      <c r="H280" s="1942"/>
      <c r="I280" s="1942"/>
      <c r="J280" s="1942"/>
      <c r="K280" s="1942"/>
      <c r="L280" s="1942"/>
      <c r="M280" s="1942"/>
      <c r="N280" s="1942"/>
      <c r="O280" s="1942"/>
      <c r="P280" s="1942"/>
      <c r="Q280" s="1942"/>
      <c r="R280" s="1942"/>
      <c r="S280" s="1942"/>
      <c r="T280" s="1942"/>
      <c r="U280" s="1942"/>
      <c r="V280" s="1942"/>
      <c r="W280" s="1942"/>
      <c r="X280" s="1942"/>
      <c r="Y280" s="1942"/>
      <c r="Z280" s="1942"/>
      <c r="AA280" s="1942"/>
      <c r="AB280" s="1942"/>
      <c r="AC280" s="1942"/>
      <c r="AD280" s="1943"/>
      <c r="AE280" s="551"/>
      <c r="AF280" s="636"/>
      <c r="AG280" s="636"/>
      <c r="AH280" s="636"/>
      <c r="AI280" s="636"/>
      <c r="AJ280" s="551"/>
      <c r="AK280" s="551"/>
      <c r="AL280" s="551"/>
      <c r="AM280" s="551"/>
      <c r="AO280" s="551"/>
      <c r="AP280" s="638"/>
    </row>
    <row r="281" spans="1:52">
      <c r="A281" s="551"/>
      <c r="B281" s="597"/>
      <c r="C281" s="637"/>
      <c r="D281" s="551"/>
      <c r="E281" s="548"/>
      <c r="F281" s="1941"/>
      <c r="G281" s="1942"/>
      <c r="H281" s="1942"/>
      <c r="I281" s="1942"/>
      <c r="J281" s="1942"/>
      <c r="K281" s="1942"/>
      <c r="L281" s="1942"/>
      <c r="M281" s="1942"/>
      <c r="N281" s="1942"/>
      <c r="O281" s="1942"/>
      <c r="P281" s="1942"/>
      <c r="Q281" s="1942"/>
      <c r="R281" s="1942"/>
      <c r="S281" s="1942"/>
      <c r="T281" s="1942"/>
      <c r="U281" s="1942"/>
      <c r="V281" s="1942"/>
      <c r="W281" s="1942"/>
      <c r="X281" s="1942"/>
      <c r="Y281" s="1942"/>
      <c r="Z281" s="1942"/>
      <c r="AA281" s="1942"/>
      <c r="AB281" s="1942"/>
      <c r="AC281" s="1942"/>
      <c r="AD281" s="1943"/>
      <c r="AE281" s="551"/>
      <c r="AF281" s="636"/>
      <c r="AG281" s="636"/>
      <c r="AH281" s="636"/>
      <c r="AI281" s="636"/>
      <c r="AJ281" s="551"/>
      <c r="AK281" s="551"/>
      <c r="AL281" s="551"/>
      <c r="AM281" s="551"/>
      <c r="AO281" s="551"/>
      <c r="AP281" s="638"/>
    </row>
    <row r="282" spans="1:52" ht="13.8" customHeight="1">
      <c r="A282" s="551"/>
      <c r="B282" s="597"/>
      <c r="C282" s="2114"/>
      <c r="D282" s="2114"/>
      <c r="E282" s="548"/>
      <c r="F282" s="1944"/>
      <c r="G282" s="1945"/>
      <c r="H282" s="1945"/>
      <c r="I282" s="1945"/>
      <c r="J282" s="1945"/>
      <c r="K282" s="1945"/>
      <c r="L282" s="1945"/>
      <c r="M282" s="1945"/>
      <c r="N282" s="1945"/>
      <c r="O282" s="1945"/>
      <c r="P282" s="1945"/>
      <c r="Q282" s="1945"/>
      <c r="R282" s="1945"/>
      <c r="S282" s="1945"/>
      <c r="T282" s="1945"/>
      <c r="U282" s="1945"/>
      <c r="V282" s="1945"/>
      <c r="W282" s="1945"/>
      <c r="X282" s="1945"/>
      <c r="Y282" s="1945"/>
      <c r="Z282" s="1945"/>
      <c r="AA282" s="1945"/>
      <c r="AB282" s="1945"/>
      <c r="AC282" s="1945"/>
      <c r="AD282" s="1946"/>
      <c r="AE282" s="551"/>
      <c r="AF282" s="636"/>
      <c r="AG282" s="2113"/>
      <c r="AH282" s="2113"/>
      <c r="AI282" s="2113"/>
      <c r="AJ282" s="2113"/>
      <c r="AK282" s="551"/>
      <c r="AL282" s="551"/>
      <c r="AM282" s="551"/>
    </row>
    <row r="283" spans="1:52" ht="13.8"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104">
        <f>IF($C$278="yes",10,0)</f>
        <v>10</v>
      </c>
      <c r="AL285" s="2104"/>
      <c r="AM285" s="2105"/>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9" t="s">
        <v>1382</v>
      </c>
      <c r="B292" s="1629"/>
      <c r="C292" s="1937" t="s">
        <v>591</v>
      </c>
      <c r="D292" s="1986"/>
      <c r="E292" s="548"/>
      <c r="F292" s="2106" t="s">
        <v>1383</v>
      </c>
      <c r="G292" s="2107"/>
      <c r="H292" s="2107"/>
      <c r="I292" s="2107"/>
      <c r="J292" s="2107"/>
      <c r="K292" s="2107"/>
      <c r="L292" s="2107"/>
      <c r="M292" s="2107"/>
      <c r="N292" s="2107"/>
      <c r="O292" s="2107"/>
      <c r="P292" s="2107"/>
      <c r="Q292" s="2107"/>
      <c r="R292" s="2107"/>
      <c r="S292" s="2107"/>
      <c r="T292" s="2107"/>
      <c r="U292" s="2107"/>
      <c r="V292" s="2107"/>
      <c r="W292" s="2107"/>
      <c r="X292" s="2107"/>
      <c r="Y292" s="2107"/>
      <c r="Z292" s="2107"/>
      <c r="AA292" s="2107"/>
      <c r="AB292" s="2107"/>
      <c r="AC292" s="2107"/>
      <c r="AD292" s="2108"/>
      <c r="AE292" s="643"/>
      <c r="AF292" s="551"/>
      <c r="AG292" s="2109" t="s">
        <v>2019</v>
      </c>
      <c r="AH292" s="2109"/>
      <c r="AI292" s="2109"/>
      <c r="AJ292" s="2109"/>
      <c r="AK292" s="2109"/>
      <c r="AL292" s="551"/>
      <c r="AM292" s="551"/>
      <c r="AN292" s="73"/>
      <c r="AO292" s="14"/>
      <c r="AP292" s="30"/>
      <c r="AS292" s="571"/>
      <c r="AT292" s="571"/>
      <c r="AU292" s="571"/>
      <c r="AV292" s="32"/>
      <c r="AW292" s="32"/>
    </row>
    <row r="293" spans="1:49">
      <c r="A293" s="641"/>
      <c r="B293" s="597"/>
      <c r="F293" s="1964"/>
      <c r="G293" s="1965"/>
      <c r="H293" s="1965"/>
      <c r="I293" s="1965"/>
      <c r="J293" s="1965"/>
      <c r="K293" s="1965"/>
      <c r="L293" s="1965"/>
      <c r="M293" s="1965"/>
      <c r="N293" s="1965"/>
      <c r="O293" s="1965"/>
      <c r="P293" s="1965"/>
      <c r="Q293" s="1965"/>
      <c r="R293" s="1965"/>
      <c r="S293" s="1965"/>
      <c r="T293" s="1965"/>
      <c r="U293" s="1965"/>
      <c r="V293" s="1965"/>
      <c r="W293" s="1965"/>
      <c r="X293" s="1965"/>
      <c r="Y293" s="1965"/>
      <c r="Z293" s="1965"/>
      <c r="AA293" s="1965"/>
      <c r="AB293" s="1965"/>
      <c r="AC293" s="1965"/>
      <c r="AD293" s="1966"/>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1964"/>
      <c r="G294" s="1965"/>
      <c r="H294" s="1965"/>
      <c r="I294" s="1965"/>
      <c r="J294" s="1965"/>
      <c r="K294" s="1965"/>
      <c r="L294" s="1965"/>
      <c r="M294" s="1965"/>
      <c r="N294" s="1965"/>
      <c r="O294" s="1965"/>
      <c r="P294" s="1965"/>
      <c r="Q294" s="1965"/>
      <c r="R294" s="1965"/>
      <c r="S294" s="1965"/>
      <c r="T294" s="1965"/>
      <c r="U294" s="1965"/>
      <c r="V294" s="1965"/>
      <c r="W294" s="1965"/>
      <c r="X294" s="1965"/>
      <c r="Y294" s="1965"/>
      <c r="Z294" s="1965"/>
      <c r="AA294" s="1965"/>
      <c r="AB294" s="1965"/>
      <c r="AC294" s="1965"/>
      <c r="AD294" s="1966"/>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1964" t="s">
        <v>2027</v>
      </c>
      <c r="G295" s="1965"/>
      <c r="H295" s="1965"/>
      <c r="I295" s="1965"/>
      <c r="J295" s="1965"/>
      <c r="K295" s="1965"/>
      <c r="L295" s="1965"/>
      <c r="M295" s="1965"/>
      <c r="N295" s="1965"/>
      <c r="O295" s="1965"/>
      <c r="P295" s="1965"/>
      <c r="Q295" s="1965"/>
      <c r="R295" s="1965"/>
      <c r="S295" s="1965"/>
      <c r="T295" s="1965"/>
      <c r="U295" s="1965"/>
      <c r="V295" s="1965"/>
      <c r="W295" s="1965"/>
      <c r="X295" s="1965"/>
      <c r="Y295" s="1965"/>
      <c r="Z295" s="1965"/>
      <c r="AA295" s="1965"/>
      <c r="AB295" s="1965"/>
      <c r="AC295" s="1965"/>
      <c r="AD295" s="1966"/>
      <c r="AE295" s="643"/>
      <c r="AF295" s="552"/>
      <c r="AH295" s="552"/>
      <c r="AI295" s="552"/>
      <c r="AJ295" s="551"/>
      <c r="AK295" s="551"/>
      <c r="AL295" s="551"/>
      <c r="AM295" s="551"/>
      <c r="AN295" s="73"/>
      <c r="AO295" s="14"/>
      <c r="AP295" s="612">
        <f>MAX(AP293,AP294)</f>
        <v>0</v>
      </c>
      <c r="AQ295" s="575" t="s">
        <v>1316</v>
      </c>
      <c r="AS295" s="571"/>
      <c r="AT295" s="571"/>
      <c r="AU295" s="571"/>
      <c r="AV295" s="32"/>
      <c r="AW295" s="32"/>
    </row>
    <row r="296" spans="1:49">
      <c r="A296" s="641"/>
      <c r="B296" s="597"/>
      <c r="F296" s="1964"/>
      <c r="G296" s="1965"/>
      <c r="H296" s="1965"/>
      <c r="I296" s="1965"/>
      <c r="J296" s="1965"/>
      <c r="K296" s="1965"/>
      <c r="L296" s="1965"/>
      <c r="M296" s="1965"/>
      <c r="N296" s="1965"/>
      <c r="O296" s="1965"/>
      <c r="P296" s="1965"/>
      <c r="Q296" s="1965"/>
      <c r="R296" s="1965"/>
      <c r="S296" s="1965"/>
      <c r="T296" s="1965"/>
      <c r="U296" s="1965"/>
      <c r="V296" s="1965"/>
      <c r="W296" s="1965"/>
      <c r="X296" s="1965"/>
      <c r="Y296" s="1965"/>
      <c r="Z296" s="1965"/>
      <c r="AA296" s="1965"/>
      <c r="AB296" s="1965"/>
      <c r="AC296" s="1965"/>
      <c r="AD296" s="1966"/>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1964" t="s">
        <v>1384</v>
      </c>
      <c r="G297" s="1965"/>
      <c r="H297" s="1965"/>
      <c r="I297" s="1965"/>
      <c r="J297" s="1965"/>
      <c r="K297" s="1965"/>
      <c r="L297" s="1965"/>
      <c r="M297" s="1965"/>
      <c r="N297" s="1965"/>
      <c r="O297" s="1965"/>
      <c r="P297" s="1965"/>
      <c r="Q297" s="1965"/>
      <c r="R297" s="1965"/>
      <c r="S297" s="1965"/>
      <c r="T297" s="1965"/>
      <c r="U297" s="1965"/>
      <c r="V297" s="1965"/>
      <c r="W297" s="1965"/>
      <c r="X297" s="1965"/>
      <c r="Y297" s="1965"/>
      <c r="Z297" s="1965"/>
      <c r="AA297" s="1965"/>
      <c r="AB297" s="1965"/>
      <c r="AC297" s="1965"/>
      <c r="AD297" s="1966"/>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1964"/>
      <c r="G298" s="1965"/>
      <c r="H298" s="1965"/>
      <c r="I298" s="1965"/>
      <c r="J298" s="1965"/>
      <c r="K298" s="1965"/>
      <c r="L298" s="1965"/>
      <c r="M298" s="1965"/>
      <c r="N298" s="1965"/>
      <c r="O298" s="1965"/>
      <c r="P298" s="1965"/>
      <c r="Q298" s="1965"/>
      <c r="R298" s="1965"/>
      <c r="S298" s="1965"/>
      <c r="T298" s="1965"/>
      <c r="U298" s="1965"/>
      <c r="V298" s="1965"/>
      <c r="W298" s="1965"/>
      <c r="X298" s="1965"/>
      <c r="Y298" s="1965"/>
      <c r="Z298" s="1965"/>
      <c r="AA298" s="1965"/>
      <c r="AB298" s="1965"/>
      <c r="AC298" s="1965"/>
      <c r="AD298" s="1966"/>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1964" t="s">
        <v>1385</v>
      </c>
      <c r="G299" s="1965"/>
      <c r="H299" s="1965"/>
      <c r="I299" s="1965"/>
      <c r="J299" s="1965"/>
      <c r="K299" s="1965"/>
      <c r="L299" s="1965"/>
      <c r="M299" s="1965"/>
      <c r="N299" s="1965"/>
      <c r="O299" s="1965"/>
      <c r="P299" s="1965"/>
      <c r="Q299" s="1965"/>
      <c r="R299" s="1965"/>
      <c r="S299" s="1965"/>
      <c r="T299" s="1965"/>
      <c r="U299" s="1965"/>
      <c r="V299" s="1965"/>
      <c r="W299" s="1965"/>
      <c r="X299" s="1965"/>
      <c r="Y299" s="1965"/>
      <c r="Z299" s="1965"/>
      <c r="AA299" s="1965"/>
      <c r="AB299" s="1965"/>
      <c r="AC299" s="1965"/>
      <c r="AD299" s="1966"/>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1967"/>
      <c r="G300" s="1968"/>
      <c r="H300" s="1968"/>
      <c r="I300" s="1968"/>
      <c r="J300" s="1968"/>
      <c r="K300" s="1968"/>
      <c r="L300" s="1968"/>
      <c r="M300" s="1968"/>
      <c r="N300" s="1968"/>
      <c r="O300" s="1968"/>
      <c r="P300" s="1968"/>
      <c r="Q300" s="1968"/>
      <c r="R300" s="1968"/>
      <c r="S300" s="1968"/>
      <c r="T300" s="1968"/>
      <c r="U300" s="1968"/>
      <c r="V300" s="1968"/>
      <c r="W300" s="1968"/>
      <c r="X300" s="1968"/>
      <c r="Y300" s="1968"/>
      <c r="Z300" s="1968"/>
      <c r="AA300" s="1968"/>
      <c r="AB300" s="1968"/>
      <c r="AC300" s="1968"/>
      <c r="AD300" s="2103"/>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9" t="s">
        <v>1386</v>
      </c>
      <c r="B302" s="1629"/>
      <c r="C302" s="1986" t="s">
        <v>591</v>
      </c>
      <c r="D302" s="1986"/>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088" t="s">
        <v>2021</v>
      </c>
      <c r="G303" s="2089"/>
      <c r="H303" s="2089"/>
      <c r="I303" s="2089"/>
      <c r="J303" s="2089"/>
      <c r="K303" s="2089"/>
      <c r="L303" s="2089"/>
      <c r="M303" s="2089"/>
      <c r="N303" s="2089"/>
      <c r="O303" s="2089"/>
      <c r="P303" s="2089"/>
      <c r="Q303" s="2089"/>
      <c r="R303" s="2089"/>
      <c r="S303" s="2089"/>
      <c r="T303" s="2089"/>
      <c r="U303" s="2089"/>
      <c r="V303" s="2089"/>
      <c r="W303" s="2089"/>
      <c r="X303" s="2089"/>
      <c r="Y303" s="2089"/>
      <c r="Z303" s="2089"/>
      <c r="AA303" s="2089"/>
      <c r="AB303" s="2089"/>
      <c r="AC303" s="2089"/>
      <c r="AD303" s="2090"/>
      <c r="AE303" s="552"/>
      <c r="AF303" s="552"/>
      <c r="AG303" s="552"/>
      <c r="AH303" s="552"/>
      <c r="AI303" s="552"/>
      <c r="AJ303" s="551"/>
      <c r="AK303" s="551"/>
      <c r="AL303" s="551"/>
      <c r="AM303" s="551"/>
      <c r="AR303" s="649"/>
    </row>
    <row r="304" spans="1:49" ht="15" customHeight="1">
      <c r="A304" s="551"/>
      <c r="B304" s="552"/>
      <c r="C304" s="551"/>
      <c r="D304" s="552"/>
      <c r="E304" s="551"/>
      <c r="F304" s="2088"/>
      <c r="G304" s="2089"/>
      <c r="H304" s="2089"/>
      <c r="I304" s="2089"/>
      <c r="J304" s="2089"/>
      <c r="K304" s="2089"/>
      <c r="L304" s="2089"/>
      <c r="M304" s="2089"/>
      <c r="N304" s="2089"/>
      <c r="O304" s="2089"/>
      <c r="P304" s="2089"/>
      <c r="Q304" s="2089"/>
      <c r="R304" s="2089"/>
      <c r="S304" s="2089"/>
      <c r="T304" s="2089"/>
      <c r="U304" s="2089"/>
      <c r="V304" s="2089"/>
      <c r="W304" s="2089"/>
      <c r="X304" s="2089"/>
      <c r="Y304" s="2089"/>
      <c r="Z304" s="2089"/>
      <c r="AA304" s="2089"/>
      <c r="AB304" s="2089"/>
      <c r="AC304" s="2089"/>
      <c r="AD304" s="2090"/>
      <c r="AE304" s="552"/>
      <c r="AF304" s="552"/>
      <c r="AG304" s="552"/>
      <c r="AH304" s="552"/>
      <c r="AI304" s="552"/>
      <c r="AJ304" s="551"/>
      <c r="AK304" s="551"/>
      <c r="AL304" s="551"/>
      <c r="AM304" s="551"/>
      <c r="AR304" s="649"/>
    </row>
    <row r="305" spans="1:44">
      <c r="A305" s="551"/>
      <c r="B305" s="552"/>
      <c r="C305" s="551"/>
      <c r="D305" s="552"/>
      <c r="E305" s="551"/>
      <c r="F305" s="2088"/>
      <c r="G305" s="2089"/>
      <c r="H305" s="2089"/>
      <c r="I305" s="2089"/>
      <c r="J305" s="2089"/>
      <c r="K305" s="2089"/>
      <c r="L305" s="2089"/>
      <c r="M305" s="2089"/>
      <c r="N305" s="2089"/>
      <c r="O305" s="2089"/>
      <c r="P305" s="2089"/>
      <c r="Q305" s="2089"/>
      <c r="R305" s="2089"/>
      <c r="S305" s="2089"/>
      <c r="T305" s="2089"/>
      <c r="U305" s="2089"/>
      <c r="V305" s="2089"/>
      <c r="W305" s="2089"/>
      <c r="X305" s="2089"/>
      <c r="Y305" s="2089"/>
      <c r="Z305" s="2089"/>
      <c r="AA305" s="2089"/>
      <c r="AB305" s="2089"/>
      <c r="AC305" s="2089"/>
      <c r="AD305" s="2090"/>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110"/>
      <c r="G306" s="2111"/>
      <c r="H306" s="2111"/>
      <c r="I306" s="2111"/>
      <c r="J306" s="2111"/>
      <c r="K306" s="2111"/>
      <c r="L306" s="2111"/>
      <c r="M306" s="2111"/>
      <c r="N306" s="2111"/>
      <c r="O306" s="2111"/>
      <c r="P306" s="2111"/>
      <c r="Q306" s="2111"/>
      <c r="R306" s="2111"/>
      <c r="S306" s="2111"/>
      <c r="T306" s="2111"/>
      <c r="U306" s="2111"/>
      <c r="V306" s="2111"/>
      <c r="W306" s="2111"/>
      <c r="X306" s="2111"/>
      <c r="Y306" s="2111"/>
      <c r="Z306" s="2111"/>
      <c r="AA306" s="2111"/>
      <c r="AB306" s="2111"/>
      <c r="AC306" s="2111"/>
      <c r="AD306" s="2112"/>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9" t="s">
        <v>1389</v>
      </c>
      <c r="B310" s="1629"/>
      <c r="C310" s="1986" t="s">
        <v>591</v>
      </c>
      <c r="D310" s="1986"/>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1964" t="s">
        <v>2028</v>
      </c>
      <c r="G311" s="1965"/>
      <c r="H311" s="1965"/>
      <c r="I311" s="1965"/>
      <c r="J311" s="1965"/>
      <c r="K311" s="1965"/>
      <c r="L311" s="1965"/>
      <c r="M311" s="1965"/>
      <c r="N311" s="1965"/>
      <c r="O311" s="1965"/>
      <c r="P311" s="1965"/>
      <c r="Q311" s="1965"/>
      <c r="R311" s="1965"/>
      <c r="S311" s="1965"/>
      <c r="T311" s="1965"/>
      <c r="U311" s="1965"/>
      <c r="V311" s="1965"/>
      <c r="W311" s="1965"/>
      <c r="X311" s="1965"/>
      <c r="Y311" s="1965"/>
      <c r="Z311" s="1965"/>
      <c r="AA311" s="1965"/>
      <c r="AB311" s="1965"/>
      <c r="AC311" s="1965"/>
      <c r="AD311" s="1966"/>
      <c r="AE311" s="552"/>
      <c r="AF311" s="552"/>
      <c r="AG311" s="540"/>
      <c r="AH311" s="552"/>
      <c r="AI311" s="552"/>
      <c r="AJ311" s="551"/>
      <c r="AK311" s="551"/>
      <c r="AL311" s="551"/>
      <c r="AM311" s="551"/>
      <c r="AN311" s="73"/>
      <c r="AO311" s="14"/>
      <c r="AP311" s="558" t="s">
        <v>1184</v>
      </c>
    </row>
    <row r="312" spans="1:44" hidden="1">
      <c r="F312" s="1964"/>
      <c r="G312" s="1965"/>
      <c r="H312" s="1965"/>
      <c r="I312" s="1965"/>
      <c r="J312" s="1965"/>
      <c r="K312" s="1965"/>
      <c r="L312" s="1965"/>
      <c r="M312" s="1965"/>
      <c r="N312" s="1965"/>
      <c r="O312" s="1965"/>
      <c r="P312" s="1965"/>
      <c r="Q312" s="1965"/>
      <c r="R312" s="1965"/>
      <c r="S312" s="1965"/>
      <c r="T312" s="1965"/>
      <c r="U312" s="1965"/>
      <c r="V312" s="1965"/>
      <c r="W312" s="1965"/>
      <c r="X312" s="1965"/>
      <c r="Y312" s="1965"/>
      <c r="Z312" s="1965"/>
      <c r="AA312" s="1965"/>
      <c r="AB312" s="1965"/>
      <c r="AC312" s="1965"/>
      <c r="AD312" s="1966"/>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091" t="s">
        <v>1184</v>
      </c>
      <c r="G316" s="2092"/>
      <c r="H316" s="2092"/>
      <c r="I316" s="2092"/>
      <c r="J316" s="2092"/>
      <c r="K316" s="2092"/>
      <c r="L316" s="2092"/>
      <c r="M316" s="2092"/>
      <c r="N316" s="2092"/>
      <c r="O316" s="2092"/>
      <c r="P316" s="2092"/>
      <c r="Q316" s="2092"/>
      <c r="R316" s="2092"/>
      <c r="S316" s="2092"/>
      <c r="T316" s="2092"/>
      <c r="U316" s="2092"/>
      <c r="V316" s="2092"/>
      <c r="W316" s="2092"/>
      <c r="X316" s="2092"/>
      <c r="Y316" s="2092"/>
      <c r="Z316" s="2092"/>
      <c r="AA316" s="2092"/>
      <c r="AB316" s="2092"/>
      <c r="AC316" s="2092"/>
      <c r="AD316" s="2093"/>
      <c r="AE316" s="643"/>
      <c r="AF316" s="643"/>
      <c r="AG316" s="643"/>
      <c r="AH316" s="643"/>
      <c r="AI316" s="643"/>
      <c r="AJ316" s="643"/>
      <c r="AK316" s="643"/>
      <c r="AL316" s="551"/>
      <c r="AM316" s="551"/>
      <c r="AN316" s="73"/>
      <c r="AO316" s="14"/>
      <c r="AP316" s="30"/>
    </row>
    <row r="317" spans="1:44" hidden="1">
      <c r="A317" s="551"/>
      <c r="B317" s="552"/>
      <c r="C317" s="731"/>
      <c r="D317" s="731"/>
      <c r="E317" s="548"/>
      <c r="F317" s="2091"/>
      <c r="G317" s="2092"/>
      <c r="H317" s="2092"/>
      <c r="I317" s="2092"/>
      <c r="J317" s="2092"/>
      <c r="K317" s="2092"/>
      <c r="L317" s="2092"/>
      <c r="M317" s="2092"/>
      <c r="N317" s="2092"/>
      <c r="O317" s="2092"/>
      <c r="P317" s="2092"/>
      <c r="Q317" s="2092"/>
      <c r="R317" s="2092"/>
      <c r="S317" s="2092"/>
      <c r="T317" s="2092"/>
      <c r="U317" s="2092"/>
      <c r="V317" s="2092"/>
      <c r="W317" s="2092"/>
      <c r="X317" s="2092"/>
      <c r="Y317" s="2092"/>
      <c r="Z317" s="2092"/>
      <c r="AA317" s="2092"/>
      <c r="AB317" s="2092"/>
      <c r="AC317" s="2092"/>
      <c r="AD317" s="2093"/>
      <c r="AE317" s="552"/>
      <c r="AF317" s="552"/>
      <c r="AG317" s="540"/>
      <c r="AH317" s="552"/>
      <c r="AI317" s="552"/>
      <c r="AJ317" s="551"/>
      <c r="AK317" s="551"/>
      <c r="AL317" s="551"/>
      <c r="AM317" s="551"/>
      <c r="AN317" s="73"/>
      <c r="AO317" s="14"/>
      <c r="AP317" s="30"/>
    </row>
    <row r="318" spans="1:44" hidden="1">
      <c r="A318" s="551"/>
      <c r="B318" s="552"/>
      <c r="C318" s="731"/>
      <c r="D318" s="731"/>
      <c r="E318" s="548"/>
      <c r="F318" s="2091"/>
      <c r="G318" s="2092"/>
      <c r="H318" s="2092"/>
      <c r="I318" s="2092"/>
      <c r="J318" s="2092"/>
      <c r="K318" s="2092"/>
      <c r="L318" s="2092"/>
      <c r="M318" s="2092"/>
      <c r="N318" s="2092"/>
      <c r="O318" s="2092"/>
      <c r="P318" s="2092"/>
      <c r="Q318" s="2092"/>
      <c r="R318" s="2092"/>
      <c r="S318" s="2092"/>
      <c r="T318" s="2092"/>
      <c r="U318" s="2092"/>
      <c r="V318" s="2092"/>
      <c r="W318" s="2092"/>
      <c r="X318" s="2092"/>
      <c r="Y318" s="2092"/>
      <c r="Z318" s="2092"/>
      <c r="AA318" s="2092"/>
      <c r="AB318" s="2092"/>
      <c r="AC318" s="2092"/>
      <c r="AD318" s="2093"/>
      <c r="AE318" s="552"/>
      <c r="AF318" s="552"/>
      <c r="AG318" s="540"/>
      <c r="AH318" s="552"/>
      <c r="AI318" s="552"/>
      <c r="AJ318" s="551"/>
      <c r="AK318" s="551"/>
      <c r="AL318" s="551"/>
      <c r="AM318" s="551"/>
      <c r="AN318" s="73"/>
      <c r="AO318" s="14"/>
      <c r="AP318" s="30"/>
    </row>
    <row r="319" spans="1:44" hidden="1">
      <c r="A319" s="551"/>
      <c r="B319" s="552"/>
      <c r="C319" s="731"/>
      <c r="D319" s="731"/>
      <c r="E319" s="548"/>
      <c r="F319" s="2091"/>
      <c r="G319" s="2092"/>
      <c r="H319" s="2092"/>
      <c r="I319" s="2092"/>
      <c r="J319" s="2092"/>
      <c r="K319" s="2092"/>
      <c r="L319" s="2092"/>
      <c r="M319" s="2092"/>
      <c r="N319" s="2092"/>
      <c r="O319" s="2092"/>
      <c r="P319" s="2092"/>
      <c r="Q319" s="2092"/>
      <c r="R319" s="2092"/>
      <c r="S319" s="2092"/>
      <c r="T319" s="2092"/>
      <c r="U319" s="2092"/>
      <c r="V319" s="2092"/>
      <c r="W319" s="2092"/>
      <c r="X319" s="2092"/>
      <c r="Y319" s="2092"/>
      <c r="Z319" s="2092"/>
      <c r="AA319" s="2092"/>
      <c r="AB319" s="2092"/>
      <c r="AC319" s="2092"/>
      <c r="AD319" s="2093"/>
      <c r="AE319" s="552"/>
      <c r="AF319" s="552"/>
      <c r="AG319" s="540"/>
      <c r="AH319" s="552"/>
      <c r="AI319" s="552"/>
      <c r="AJ319" s="551"/>
      <c r="AK319" s="551"/>
      <c r="AL319" s="551"/>
      <c r="AM319" s="551"/>
      <c r="AN319" s="73"/>
      <c r="AO319" s="14"/>
      <c r="AP319" s="30"/>
    </row>
    <row r="320" spans="1:44" hidden="1">
      <c r="A320" s="551"/>
      <c r="B320" s="552"/>
      <c r="C320" s="731"/>
      <c r="D320" s="731"/>
      <c r="E320" s="548"/>
      <c r="F320" s="2094"/>
      <c r="G320" s="2095"/>
      <c r="H320" s="2095"/>
      <c r="I320" s="2095"/>
      <c r="J320" s="2095"/>
      <c r="K320" s="2095"/>
      <c r="L320" s="2095"/>
      <c r="M320" s="2095"/>
      <c r="N320" s="2095"/>
      <c r="O320" s="2095"/>
      <c r="P320" s="2095"/>
      <c r="Q320" s="2095"/>
      <c r="R320" s="2095"/>
      <c r="S320" s="2095"/>
      <c r="T320" s="2095"/>
      <c r="U320" s="2095"/>
      <c r="V320" s="2095"/>
      <c r="W320" s="2095"/>
      <c r="X320" s="2095"/>
      <c r="Y320" s="2095"/>
      <c r="Z320" s="2095"/>
      <c r="AA320" s="2095"/>
      <c r="AB320" s="2095"/>
      <c r="AC320" s="2095"/>
      <c r="AD320" s="2096"/>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097" t="s">
        <v>1184</v>
      </c>
      <c r="J324" s="2097"/>
      <c r="K324" s="2097"/>
      <c r="L324" s="2097"/>
      <c r="M324" s="2097"/>
      <c r="N324" s="2097"/>
      <c r="O324" s="2097"/>
      <c r="P324" s="2097"/>
      <c r="Q324" s="2097"/>
      <c r="R324" s="2097"/>
      <c r="S324" s="2097"/>
      <c r="T324" s="2097"/>
      <c r="U324" s="2097"/>
      <c r="V324" s="2097"/>
      <c r="W324" s="2097"/>
      <c r="X324" s="2097"/>
      <c r="Y324" s="2097"/>
      <c r="Z324" s="2097"/>
      <c r="AA324" s="2097"/>
      <c r="AB324" s="2097"/>
      <c r="AC324" s="2097"/>
      <c r="AD324" s="2098"/>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097"/>
      <c r="J325" s="2097"/>
      <c r="K325" s="2097"/>
      <c r="L325" s="2097"/>
      <c r="M325" s="2097"/>
      <c r="N325" s="2097"/>
      <c r="O325" s="2097"/>
      <c r="P325" s="2097"/>
      <c r="Q325" s="2097"/>
      <c r="R325" s="2097"/>
      <c r="S325" s="2097"/>
      <c r="T325" s="2097"/>
      <c r="U325" s="2097"/>
      <c r="V325" s="2097"/>
      <c r="W325" s="2097"/>
      <c r="X325" s="2097"/>
      <c r="Y325" s="2097"/>
      <c r="Z325" s="2097"/>
      <c r="AA325" s="2097"/>
      <c r="AB325" s="2097"/>
      <c r="AC325" s="2097"/>
      <c r="AD325" s="2098"/>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097"/>
      <c r="J326" s="2097"/>
      <c r="K326" s="2097"/>
      <c r="L326" s="2097"/>
      <c r="M326" s="2097"/>
      <c r="N326" s="2097"/>
      <c r="O326" s="2097"/>
      <c r="P326" s="2097"/>
      <c r="Q326" s="2097"/>
      <c r="R326" s="2097"/>
      <c r="S326" s="2097"/>
      <c r="T326" s="2097"/>
      <c r="U326" s="2097"/>
      <c r="V326" s="2097"/>
      <c r="W326" s="2097"/>
      <c r="X326" s="2097"/>
      <c r="Y326" s="2097"/>
      <c r="Z326" s="2097"/>
      <c r="AA326" s="2097"/>
      <c r="AB326" s="2097"/>
      <c r="AC326" s="2097"/>
      <c r="AD326" s="2098"/>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099"/>
      <c r="J327" s="2099"/>
      <c r="K327" s="2099"/>
      <c r="L327" s="2099"/>
      <c r="M327" s="2099"/>
      <c r="N327" s="2099"/>
      <c r="O327" s="2099"/>
      <c r="P327" s="2099"/>
      <c r="Q327" s="2099"/>
      <c r="R327" s="2099"/>
      <c r="S327" s="2099"/>
      <c r="T327" s="2099"/>
      <c r="U327" s="2099"/>
      <c r="V327" s="2099"/>
      <c r="W327" s="2099"/>
      <c r="X327" s="2099"/>
      <c r="Y327" s="2099"/>
      <c r="Z327" s="2099"/>
      <c r="AA327" s="2099"/>
      <c r="AB327" s="2099"/>
      <c r="AC327" s="2099"/>
      <c r="AD327" s="2100"/>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097" t="s">
        <v>1184</v>
      </c>
      <c r="J329" s="2097"/>
      <c r="K329" s="2097"/>
      <c r="L329" s="2097"/>
      <c r="M329" s="2097"/>
      <c r="N329" s="2097"/>
      <c r="O329" s="2097"/>
      <c r="P329" s="2097"/>
      <c r="Q329" s="2097"/>
      <c r="R329" s="2097"/>
      <c r="S329" s="2097"/>
      <c r="T329" s="2097"/>
      <c r="U329" s="2097"/>
      <c r="V329" s="2097"/>
      <c r="W329" s="2097"/>
      <c r="X329" s="2097"/>
      <c r="Y329" s="2097"/>
      <c r="Z329" s="2097"/>
      <c r="AA329" s="2097"/>
      <c r="AB329" s="2097"/>
      <c r="AC329" s="2097"/>
      <c r="AD329" s="2098"/>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097"/>
      <c r="J330" s="2097"/>
      <c r="K330" s="2097"/>
      <c r="L330" s="2097"/>
      <c r="M330" s="2097"/>
      <c r="N330" s="2097"/>
      <c r="O330" s="2097"/>
      <c r="P330" s="2097"/>
      <c r="Q330" s="2097"/>
      <c r="R330" s="2097"/>
      <c r="S330" s="2097"/>
      <c r="T330" s="2097"/>
      <c r="U330" s="2097"/>
      <c r="V330" s="2097"/>
      <c r="W330" s="2097"/>
      <c r="X330" s="2097"/>
      <c r="Y330" s="2097"/>
      <c r="Z330" s="2097"/>
      <c r="AA330" s="2097"/>
      <c r="AB330" s="2097"/>
      <c r="AC330" s="2097"/>
      <c r="AD330" s="2098"/>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099"/>
      <c r="J331" s="2099"/>
      <c r="K331" s="2099"/>
      <c r="L331" s="2099"/>
      <c r="M331" s="2099"/>
      <c r="N331" s="2099"/>
      <c r="O331" s="2099"/>
      <c r="P331" s="2099"/>
      <c r="Q331" s="2099"/>
      <c r="R331" s="2099"/>
      <c r="S331" s="2099"/>
      <c r="T331" s="2099"/>
      <c r="U331" s="2099"/>
      <c r="V331" s="2099"/>
      <c r="W331" s="2099"/>
      <c r="X331" s="2099"/>
      <c r="Y331" s="2099"/>
      <c r="Z331" s="2099"/>
      <c r="AA331" s="2099"/>
      <c r="AB331" s="2099"/>
      <c r="AC331" s="2099"/>
      <c r="AD331" s="2100"/>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29" t="s">
        <v>1392</v>
      </c>
      <c r="B333" s="1629"/>
      <c r="C333" s="1986" t="s">
        <v>591</v>
      </c>
      <c r="D333" s="1986"/>
      <c r="E333" s="548"/>
      <c r="F333" s="2085" t="s">
        <v>2029</v>
      </c>
      <c r="G333" s="2086"/>
      <c r="H333" s="2086"/>
      <c r="I333" s="2086"/>
      <c r="J333" s="2086"/>
      <c r="K333" s="2086"/>
      <c r="L333" s="2086"/>
      <c r="M333" s="2086"/>
      <c r="N333" s="2086"/>
      <c r="O333" s="2086"/>
      <c r="P333" s="2086"/>
      <c r="Q333" s="2086"/>
      <c r="R333" s="2086"/>
      <c r="S333" s="2086"/>
      <c r="T333" s="2086"/>
      <c r="U333" s="2086"/>
      <c r="V333" s="2086"/>
      <c r="W333" s="2086"/>
      <c r="X333" s="2086"/>
      <c r="Y333" s="2086"/>
      <c r="Z333" s="2086"/>
      <c r="AA333" s="2086"/>
      <c r="AB333" s="2086"/>
      <c r="AC333" s="2086"/>
      <c r="AD333" s="2087"/>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088"/>
      <c r="G334" s="2089"/>
      <c r="H334" s="2089"/>
      <c r="I334" s="2089"/>
      <c r="J334" s="2089"/>
      <c r="K334" s="2089"/>
      <c r="L334" s="2089"/>
      <c r="M334" s="2089"/>
      <c r="N334" s="2089"/>
      <c r="O334" s="2089"/>
      <c r="P334" s="2089"/>
      <c r="Q334" s="2089"/>
      <c r="R334" s="2089"/>
      <c r="S334" s="2089"/>
      <c r="T334" s="2089"/>
      <c r="U334" s="2089"/>
      <c r="V334" s="2089"/>
      <c r="W334" s="2089"/>
      <c r="X334" s="2089"/>
      <c r="Y334" s="2089"/>
      <c r="Z334" s="2089"/>
      <c r="AA334" s="2089"/>
      <c r="AB334" s="2089"/>
      <c r="AC334" s="2089"/>
      <c r="AD334" s="2090"/>
      <c r="AE334" s="552"/>
      <c r="AF334" s="552"/>
      <c r="AG334" s="552"/>
      <c r="AH334" s="552"/>
      <c r="AI334" s="552"/>
      <c r="AJ334" s="551"/>
      <c r="AK334" s="551"/>
      <c r="AL334" s="551"/>
      <c r="AM334" s="551"/>
      <c r="AN334" s="73"/>
      <c r="AO334" s="14"/>
    </row>
    <row r="335" spans="1:42" ht="15" hidden="1" customHeight="1">
      <c r="A335" s="551"/>
      <c r="B335" s="552"/>
      <c r="C335" s="552"/>
      <c r="D335" s="552"/>
      <c r="E335" s="552"/>
      <c r="F335" s="2088"/>
      <c r="G335" s="2089"/>
      <c r="H335" s="2089"/>
      <c r="I335" s="2089"/>
      <c r="J335" s="2089"/>
      <c r="K335" s="2089"/>
      <c r="L335" s="2089"/>
      <c r="M335" s="2089"/>
      <c r="N335" s="2089"/>
      <c r="O335" s="2089"/>
      <c r="P335" s="2089"/>
      <c r="Q335" s="2089"/>
      <c r="R335" s="2089"/>
      <c r="S335" s="2089"/>
      <c r="T335" s="2089"/>
      <c r="U335" s="2089"/>
      <c r="V335" s="2089"/>
      <c r="W335" s="2089"/>
      <c r="X335" s="2089"/>
      <c r="Y335" s="2089"/>
      <c r="Z335" s="2089"/>
      <c r="AA335" s="2089"/>
      <c r="AB335" s="2089"/>
      <c r="AC335" s="2089"/>
      <c r="AD335" s="2090"/>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1972">
        <f>IF(NOT(OR(Application!M355="Yes",Application!M356="Yes")),0,AP295)</f>
        <v>0</v>
      </c>
      <c r="AL338" s="1973"/>
      <c r="AM338" s="1974"/>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005" t="s">
        <v>1314</v>
      </c>
      <c r="AF341" s="2005"/>
      <c r="AG341" s="2005"/>
      <c r="AH341" s="2005"/>
      <c r="AI341" s="2005"/>
      <c r="AJ341" s="2005"/>
      <c r="AK341" s="2005"/>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1981" t="s">
        <v>1454</v>
      </c>
      <c r="D343" s="1981"/>
      <c r="E343" s="1981"/>
      <c r="F343" s="1981"/>
      <c r="G343" s="1981"/>
      <c r="H343" s="1981"/>
      <c r="I343" s="1981"/>
      <c r="J343" s="1981"/>
      <c r="K343" s="1981"/>
      <c r="L343" s="1981"/>
      <c r="M343" s="1981"/>
      <c r="N343" s="1981"/>
      <c r="O343" s="1981"/>
      <c r="P343" s="1981"/>
      <c r="Q343" s="1981"/>
      <c r="R343" s="1981"/>
      <c r="S343" s="1981"/>
      <c r="T343" s="1981"/>
      <c r="U343" s="1981"/>
      <c r="V343" s="1981"/>
      <c r="W343" s="1981"/>
      <c r="X343" s="1981"/>
      <c r="Y343" s="1981"/>
      <c r="Z343" s="1981"/>
      <c r="AA343" s="1981"/>
      <c r="AB343" s="1981"/>
      <c r="AC343" s="1981"/>
      <c r="AD343" s="1981"/>
      <c r="AE343" s="1981"/>
      <c r="AF343" s="1981"/>
      <c r="AG343" s="1981"/>
      <c r="AH343" s="1981"/>
      <c r="AI343" s="1981"/>
      <c r="AJ343" s="1981"/>
      <c r="AK343" s="604"/>
      <c r="AL343" s="604"/>
      <c r="AM343" s="604"/>
      <c r="AN343" s="598"/>
    </row>
    <row r="344" spans="1:44" s="551" customFormat="1" ht="12.75" customHeight="1">
      <c r="A344" s="604"/>
      <c r="B344" s="612"/>
      <c r="C344" s="1981"/>
      <c r="D344" s="1981"/>
      <c r="E344" s="1981"/>
      <c r="F344" s="1981"/>
      <c r="G344" s="1981"/>
      <c r="H344" s="1981"/>
      <c r="I344" s="1981"/>
      <c r="J344" s="1981"/>
      <c r="K344" s="1981"/>
      <c r="L344" s="1981"/>
      <c r="M344" s="1981"/>
      <c r="N344" s="1981"/>
      <c r="O344" s="1981"/>
      <c r="P344" s="1981"/>
      <c r="Q344" s="1981"/>
      <c r="R344" s="1981"/>
      <c r="S344" s="1981"/>
      <c r="T344" s="1981"/>
      <c r="U344" s="1981"/>
      <c r="V344" s="1981"/>
      <c r="W344" s="1981"/>
      <c r="X344" s="1981"/>
      <c r="Y344" s="1981"/>
      <c r="Z344" s="1981"/>
      <c r="AA344" s="1981"/>
      <c r="AB344" s="1981"/>
      <c r="AC344" s="1981"/>
      <c r="AD344" s="1981"/>
      <c r="AE344" s="1981"/>
      <c r="AF344" s="1981"/>
      <c r="AG344" s="1981"/>
      <c r="AH344" s="1981"/>
      <c r="AI344" s="1981"/>
      <c r="AJ344" s="1981"/>
      <c r="AK344" s="604"/>
      <c r="AL344" s="604"/>
      <c r="AM344" s="604"/>
      <c r="AN344" s="598"/>
    </row>
    <row r="345" spans="1:44" s="551" customFormat="1" ht="12.75" customHeight="1">
      <c r="A345" s="604"/>
      <c r="B345" s="612"/>
      <c r="C345" s="1981"/>
      <c r="D345" s="1981"/>
      <c r="E345" s="1981"/>
      <c r="F345" s="1981"/>
      <c r="G345" s="1981"/>
      <c r="H345" s="1981"/>
      <c r="I345" s="1981"/>
      <c r="J345" s="1981"/>
      <c r="K345" s="1981"/>
      <c r="L345" s="1981"/>
      <c r="M345" s="1981"/>
      <c r="N345" s="1981"/>
      <c r="O345" s="1981"/>
      <c r="P345" s="1981"/>
      <c r="Q345" s="1981"/>
      <c r="R345" s="1981"/>
      <c r="S345" s="1981"/>
      <c r="T345" s="1981"/>
      <c r="U345" s="1981"/>
      <c r="V345" s="1981"/>
      <c r="W345" s="1981"/>
      <c r="X345" s="1981"/>
      <c r="Y345" s="1981"/>
      <c r="Z345" s="1981"/>
      <c r="AA345" s="1981"/>
      <c r="AB345" s="1981"/>
      <c r="AC345" s="1981"/>
      <c r="AD345" s="1981"/>
      <c r="AE345" s="1981"/>
      <c r="AF345" s="1981"/>
      <c r="AG345" s="1981"/>
      <c r="AH345" s="1981"/>
      <c r="AI345" s="1981"/>
      <c r="AJ345" s="1981"/>
      <c r="AK345" s="604"/>
      <c r="AL345" s="604"/>
      <c r="AM345" s="604"/>
      <c r="AN345" s="598"/>
      <c r="AQ345" s="571"/>
    </row>
    <row r="346" spans="1:44" s="551" customFormat="1" ht="12.75" customHeight="1">
      <c r="A346" s="604"/>
      <c r="B346" s="612"/>
      <c r="C346" s="1981"/>
      <c r="D346" s="1981"/>
      <c r="E346" s="1981"/>
      <c r="F346" s="1981"/>
      <c r="G346" s="1981"/>
      <c r="H346" s="1981"/>
      <c r="I346" s="1981"/>
      <c r="J346" s="1981"/>
      <c r="K346" s="1981"/>
      <c r="L346" s="1981"/>
      <c r="M346" s="1981"/>
      <c r="N346" s="1981"/>
      <c r="O346" s="1981"/>
      <c r="P346" s="1981"/>
      <c r="Q346" s="1981"/>
      <c r="R346" s="1981"/>
      <c r="S346" s="1981"/>
      <c r="T346" s="1981"/>
      <c r="U346" s="1981"/>
      <c r="V346" s="1981"/>
      <c r="W346" s="1981"/>
      <c r="X346" s="1981"/>
      <c r="Y346" s="1981"/>
      <c r="Z346" s="1981"/>
      <c r="AA346" s="1981"/>
      <c r="AB346" s="1981"/>
      <c r="AC346" s="1981"/>
      <c r="AD346" s="1981"/>
      <c r="AE346" s="1981"/>
      <c r="AF346" s="1981"/>
      <c r="AG346" s="1981"/>
      <c r="AH346" s="1981"/>
      <c r="AI346" s="1981"/>
      <c r="AJ346" s="1981"/>
      <c r="AK346" s="604"/>
      <c r="AL346" s="604"/>
      <c r="AM346" s="604"/>
      <c r="AN346" s="598"/>
      <c r="AQ346" s="571"/>
    </row>
    <row r="347" spans="1:44" s="551" customFormat="1" ht="12.45" customHeight="1">
      <c r="A347" s="604"/>
      <c r="B347" s="612"/>
      <c r="C347" s="1981"/>
      <c r="D347" s="1981"/>
      <c r="E347" s="1981"/>
      <c r="F347" s="1981"/>
      <c r="G347" s="1981"/>
      <c r="H347" s="1981"/>
      <c r="I347" s="1981"/>
      <c r="J347" s="1981"/>
      <c r="K347" s="1981"/>
      <c r="L347" s="1981"/>
      <c r="M347" s="1981"/>
      <c r="N347" s="1981"/>
      <c r="O347" s="1981"/>
      <c r="P347" s="1981"/>
      <c r="Q347" s="1981"/>
      <c r="R347" s="1981"/>
      <c r="S347" s="1981"/>
      <c r="T347" s="1981"/>
      <c r="U347" s="1981"/>
      <c r="V347" s="1981"/>
      <c r="W347" s="1981"/>
      <c r="X347" s="1981"/>
      <c r="Y347" s="1981"/>
      <c r="Z347" s="1981"/>
      <c r="AA347" s="1981"/>
      <c r="AB347" s="1981"/>
      <c r="AC347" s="1981"/>
      <c r="AD347" s="1981"/>
      <c r="AE347" s="1981"/>
      <c r="AF347" s="1981"/>
      <c r="AG347" s="1981"/>
      <c r="AH347" s="1981"/>
      <c r="AI347" s="1981"/>
      <c r="AJ347" s="1981"/>
      <c r="AK347" s="604"/>
      <c r="AL347" s="604"/>
      <c r="AM347" s="604"/>
      <c r="AN347" s="598"/>
      <c r="AQ347" s="571"/>
      <c r="AR347" s="571"/>
    </row>
    <row r="348" spans="1:44" s="551" customFormat="1" ht="45.75" customHeight="1">
      <c r="A348" s="604"/>
      <c r="B348" s="612"/>
      <c r="C348" s="1981" t="s">
        <v>2094</v>
      </c>
      <c r="D348" s="1981"/>
      <c r="E348" s="1981"/>
      <c r="F348" s="1981"/>
      <c r="G348" s="1981"/>
      <c r="H348" s="1981"/>
      <c r="I348" s="1981"/>
      <c r="J348" s="1981"/>
      <c r="K348" s="1981"/>
      <c r="L348" s="1981"/>
      <c r="M348" s="1981"/>
      <c r="N348" s="1981"/>
      <c r="O348" s="1981"/>
      <c r="P348" s="1981"/>
      <c r="Q348" s="1981"/>
      <c r="R348" s="1981"/>
      <c r="S348" s="1981"/>
      <c r="T348" s="1981"/>
      <c r="U348" s="1981"/>
      <c r="V348" s="1981"/>
      <c r="W348" s="1981"/>
      <c r="X348" s="1981"/>
      <c r="Y348" s="1981"/>
      <c r="Z348" s="1981"/>
      <c r="AA348" s="1981"/>
      <c r="AB348" s="1981"/>
      <c r="AC348" s="1981"/>
      <c r="AD348" s="1981"/>
      <c r="AE348" s="1981"/>
      <c r="AF348" s="1981"/>
      <c r="AG348" s="1981"/>
      <c r="AH348" s="1981"/>
      <c r="AI348" s="1981"/>
      <c r="AJ348" s="1981"/>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1981" t="s">
        <v>2209</v>
      </c>
      <c r="D350" s="1981"/>
      <c r="E350" s="1981"/>
      <c r="F350" s="1981"/>
      <c r="G350" s="1981"/>
      <c r="H350" s="1981"/>
      <c r="I350" s="1981"/>
      <c r="J350" s="1981"/>
      <c r="K350" s="1981"/>
      <c r="L350" s="1981"/>
      <c r="M350" s="1981"/>
      <c r="N350" s="1981"/>
      <c r="O350" s="1981"/>
      <c r="P350" s="1981"/>
      <c r="Q350" s="1981"/>
      <c r="R350" s="1981"/>
      <c r="S350" s="1981"/>
      <c r="T350" s="1981"/>
      <c r="U350" s="1981"/>
      <c r="V350" s="1981"/>
      <c r="W350" s="1981"/>
      <c r="X350" s="1981"/>
      <c r="Y350" s="1981"/>
      <c r="Z350" s="1981"/>
      <c r="AA350" s="1981"/>
      <c r="AB350" s="1981"/>
      <c r="AC350" s="1981"/>
      <c r="AD350" s="1981"/>
      <c r="AE350" s="1981"/>
      <c r="AF350" s="1981"/>
      <c r="AG350" s="1981"/>
      <c r="AH350" s="1981"/>
      <c r="AI350" s="1981"/>
      <c r="AJ350" s="1981"/>
      <c r="AK350" s="604"/>
      <c r="AL350" s="604"/>
      <c r="AM350" s="604"/>
      <c r="AN350" s="598"/>
      <c r="AQ350" s="571"/>
      <c r="AR350" s="571"/>
    </row>
    <row r="351" spans="1:44" s="551" customFormat="1" ht="30" customHeight="1">
      <c r="A351" s="604"/>
      <c r="B351" s="612"/>
      <c r="C351" s="1981"/>
      <c r="D351" s="1981"/>
      <c r="E351" s="1981"/>
      <c r="F351" s="1981"/>
      <c r="G351" s="1981"/>
      <c r="H351" s="1981"/>
      <c r="I351" s="1981"/>
      <c r="J351" s="1981"/>
      <c r="K351" s="1981"/>
      <c r="L351" s="1981"/>
      <c r="M351" s="1981"/>
      <c r="N351" s="1981"/>
      <c r="O351" s="1981"/>
      <c r="P351" s="1981"/>
      <c r="Q351" s="1981"/>
      <c r="R351" s="1981"/>
      <c r="S351" s="1981"/>
      <c r="T351" s="1981"/>
      <c r="U351" s="1981"/>
      <c r="V351" s="1981"/>
      <c r="W351" s="1981"/>
      <c r="X351" s="1981"/>
      <c r="Y351" s="1981"/>
      <c r="Z351" s="1981"/>
      <c r="AA351" s="1981"/>
      <c r="AB351" s="1981"/>
      <c r="AC351" s="1981"/>
      <c r="AD351" s="1981"/>
      <c r="AE351" s="1981"/>
      <c r="AF351" s="1981"/>
      <c r="AG351" s="1981"/>
      <c r="AH351" s="1981"/>
      <c r="AI351" s="1981"/>
      <c r="AJ351" s="1981"/>
      <c r="AK351" s="604"/>
      <c r="AL351" s="604"/>
      <c r="AM351" s="604"/>
      <c r="AN351" s="598"/>
      <c r="AR351" s="571"/>
    </row>
    <row r="352" spans="1:44" s="551" customFormat="1" ht="12.75" customHeight="1">
      <c r="A352" s="604"/>
      <c r="B352" s="612"/>
      <c r="C352" s="1981"/>
      <c r="D352" s="1981"/>
      <c r="E352" s="1981"/>
      <c r="F352" s="1981"/>
      <c r="G352" s="1981"/>
      <c r="H352" s="1981"/>
      <c r="I352" s="1981"/>
      <c r="J352" s="1981"/>
      <c r="K352" s="1981"/>
      <c r="L352" s="1981"/>
      <c r="M352" s="1981"/>
      <c r="N352" s="1981"/>
      <c r="O352" s="1981"/>
      <c r="P352" s="1981"/>
      <c r="Q352" s="1981"/>
      <c r="R352" s="1981"/>
      <c r="S352" s="1981"/>
      <c r="T352" s="1981"/>
      <c r="U352" s="1981"/>
      <c r="V352" s="1981"/>
      <c r="W352" s="1981"/>
      <c r="X352" s="1981"/>
      <c r="Y352" s="1981"/>
      <c r="Z352" s="1981"/>
      <c r="AA352" s="1981"/>
      <c r="AB352" s="1981"/>
      <c r="AC352" s="1981"/>
      <c r="AD352" s="1981"/>
      <c r="AE352" s="1981"/>
      <c r="AF352" s="1981"/>
      <c r="AG352" s="1981"/>
      <c r="AH352" s="1981"/>
      <c r="AI352" s="1981"/>
      <c r="AJ352" s="1981"/>
      <c r="AK352" s="604"/>
      <c r="AL352" s="604"/>
      <c r="AM352" s="604"/>
      <c r="AN352" s="598"/>
      <c r="AR352" s="571"/>
    </row>
    <row r="353" spans="1:46" s="551" customFormat="1" ht="12.75" customHeight="1">
      <c r="A353" s="604"/>
      <c r="B353" s="612"/>
      <c r="C353" s="1981" t="s">
        <v>1455</v>
      </c>
      <c r="D353" s="1981"/>
      <c r="E353" s="1981"/>
      <c r="F353" s="1981"/>
      <c r="G353" s="1981"/>
      <c r="H353" s="1981"/>
      <c r="I353" s="1981"/>
      <c r="J353" s="1981"/>
      <c r="K353" s="1981"/>
      <c r="L353" s="1981"/>
      <c r="M353" s="1981"/>
      <c r="N353" s="1981"/>
      <c r="O353" s="1981"/>
      <c r="P353" s="1981"/>
      <c r="Q353" s="1981"/>
      <c r="R353" s="1981"/>
      <c r="S353" s="1981"/>
      <c r="T353" s="1981"/>
      <c r="U353" s="1981"/>
      <c r="V353" s="1981"/>
      <c r="W353" s="1981"/>
      <c r="X353" s="1981"/>
      <c r="Y353" s="1981"/>
      <c r="Z353" s="1981"/>
      <c r="AA353" s="1981"/>
      <c r="AB353" s="1981"/>
      <c r="AC353" s="1981"/>
      <c r="AD353" s="1981"/>
      <c r="AE353" s="1981"/>
      <c r="AF353" s="1981"/>
      <c r="AG353" s="1981"/>
      <c r="AH353" s="1981"/>
      <c r="AI353" s="1981"/>
      <c r="AJ353" s="1981"/>
      <c r="AK353" s="604"/>
      <c r="AL353" s="604"/>
      <c r="AM353" s="604"/>
      <c r="AN353" s="598"/>
      <c r="AQ353" s="571"/>
      <c r="AR353" s="571"/>
    </row>
    <row r="354" spans="1:46" s="551" customFormat="1" ht="12.75" customHeight="1">
      <c r="A354" s="604"/>
      <c r="B354" s="612"/>
      <c r="C354" s="1981"/>
      <c r="D354" s="1981"/>
      <c r="E354" s="1981"/>
      <c r="F354" s="1981"/>
      <c r="G354" s="1981"/>
      <c r="H354" s="1981"/>
      <c r="I354" s="1981"/>
      <c r="J354" s="1981"/>
      <c r="K354" s="1981"/>
      <c r="L354" s="1981"/>
      <c r="M354" s="1981"/>
      <c r="N354" s="1981"/>
      <c r="O354" s="1981"/>
      <c r="P354" s="1981"/>
      <c r="Q354" s="1981"/>
      <c r="R354" s="1981"/>
      <c r="S354" s="1981"/>
      <c r="T354" s="1981"/>
      <c r="U354" s="1981"/>
      <c r="V354" s="1981"/>
      <c r="W354" s="1981"/>
      <c r="X354" s="1981"/>
      <c r="Y354" s="1981"/>
      <c r="Z354" s="1981"/>
      <c r="AA354" s="1981"/>
      <c r="AB354" s="1981"/>
      <c r="AC354" s="1981"/>
      <c r="AD354" s="1981"/>
      <c r="AE354" s="1981"/>
      <c r="AF354" s="1981"/>
      <c r="AG354" s="1981"/>
      <c r="AH354" s="1981"/>
      <c r="AI354" s="1981"/>
      <c r="AJ354" s="1981"/>
      <c r="AK354" s="604"/>
      <c r="AL354" s="604"/>
      <c r="AM354" s="604"/>
      <c r="AN354" s="598"/>
      <c r="AQ354" s="571"/>
      <c r="AR354" s="571"/>
    </row>
    <row r="355" spans="1:46" s="551" customFormat="1" ht="13.2" customHeight="1">
      <c r="A355" s="604"/>
      <c r="B355" s="612"/>
      <c r="C355" s="1981"/>
      <c r="D355" s="1981"/>
      <c r="E355" s="1981"/>
      <c r="F355" s="1981"/>
      <c r="G355" s="1981"/>
      <c r="H355" s="1981"/>
      <c r="I355" s="1981"/>
      <c r="J355" s="1981"/>
      <c r="K355" s="1981"/>
      <c r="L355" s="1981"/>
      <c r="M355" s="1981"/>
      <c r="N355" s="1981"/>
      <c r="O355" s="1981"/>
      <c r="P355" s="1981"/>
      <c r="Q355" s="1981"/>
      <c r="R355" s="1981"/>
      <c r="S355" s="1981"/>
      <c r="T355" s="1981"/>
      <c r="U355" s="1981"/>
      <c r="V355" s="1981"/>
      <c r="W355" s="1981"/>
      <c r="X355" s="1981"/>
      <c r="Y355" s="1981"/>
      <c r="Z355" s="1981"/>
      <c r="AA355" s="1981"/>
      <c r="AB355" s="1981"/>
      <c r="AC355" s="1981"/>
      <c r="AD355" s="1981"/>
      <c r="AE355" s="1981"/>
      <c r="AF355" s="1981"/>
      <c r="AG355" s="1981"/>
      <c r="AH355" s="1981"/>
      <c r="AI355" s="1981"/>
      <c r="AJ355" s="1981"/>
      <c r="AK355" s="604"/>
      <c r="AL355" s="604"/>
      <c r="AM355" s="604"/>
      <c r="AN355" s="598"/>
      <c r="AQ355" s="571"/>
      <c r="AR355" s="571"/>
    </row>
    <row r="356" spans="1:46" s="551" customFormat="1" ht="12.75" customHeight="1">
      <c r="A356" s="604"/>
      <c r="B356" s="612"/>
      <c r="C356" s="1981"/>
      <c r="D356" s="1981"/>
      <c r="E356" s="1981"/>
      <c r="F356" s="1981"/>
      <c r="G356" s="1981"/>
      <c r="H356" s="1981"/>
      <c r="I356" s="1981"/>
      <c r="J356" s="1981"/>
      <c r="K356" s="1981"/>
      <c r="L356" s="1981"/>
      <c r="M356" s="1981"/>
      <c r="N356" s="1981"/>
      <c r="O356" s="1981"/>
      <c r="P356" s="1981"/>
      <c r="Q356" s="1981"/>
      <c r="R356" s="1981"/>
      <c r="S356" s="1981"/>
      <c r="T356" s="1981"/>
      <c r="U356" s="1981"/>
      <c r="V356" s="1981"/>
      <c r="W356" s="1981"/>
      <c r="X356" s="1981"/>
      <c r="Y356" s="1981"/>
      <c r="Z356" s="1981"/>
      <c r="AA356" s="1981"/>
      <c r="AB356" s="1981"/>
      <c r="AC356" s="1981"/>
      <c r="AD356" s="1981"/>
      <c r="AE356" s="1981"/>
      <c r="AF356" s="1981"/>
      <c r="AG356" s="1981"/>
      <c r="AH356" s="1981"/>
      <c r="AI356" s="1981"/>
      <c r="AJ356" s="1981"/>
      <c r="AK356" s="604"/>
      <c r="AL356" s="604"/>
      <c r="AM356" s="604"/>
      <c r="AN356" s="598"/>
      <c r="AO356" s="695"/>
      <c r="AP356" s="695"/>
      <c r="AQ356" s="571"/>
    </row>
    <row r="357" spans="1:46" s="551" customFormat="1" ht="11.85" customHeight="1">
      <c r="A357" s="604"/>
      <c r="B357" s="612"/>
      <c r="C357" s="1981"/>
      <c r="D357" s="1981"/>
      <c r="E357" s="1981"/>
      <c r="F357" s="1981"/>
      <c r="G357" s="1981"/>
      <c r="H357" s="1981"/>
      <c r="I357" s="1981"/>
      <c r="J357" s="1981"/>
      <c r="K357" s="1981"/>
      <c r="L357" s="1981"/>
      <c r="M357" s="1981"/>
      <c r="N357" s="1981"/>
      <c r="O357" s="1981"/>
      <c r="P357" s="1981"/>
      <c r="Q357" s="1981"/>
      <c r="R357" s="1981"/>
      <c r="S357" s="1981"/>
      <c r="T357" s="1981"/>
      <c r="U357" s="1981"/>
      <c r="V357" s="1981"/>
      <c r="W357" s="1981"/>
      <c r="X357" s="1981"/>
      <c r="Y357" s="1981"/>
      <c r="Z357" s="1981"/>
      <c r="AA357" s="1981"/>
      <c r="AB357" s="1981"/>
      <c r="AC357" s="1981"/>
      <c r="AD357" s="1981"/>
      <c r="AE357" s="1981"/>
      <c r="AF357" s="1981"/>
      <c r="AG357" s="1981"/>
      <c r="AH357" s="1981"/>
      <c r="AI357" s="1981"/>
      <c r="AJ357" s="1981"/>
      <c r="AK357" s="604"/>
      <c r="AL357" s="604"/>
      <c r="AM357" s="604"/>
      <c r="AN357" s="598"/>
      <c r="AO357" s="696" t="s">
        <v>112</v>
      </c>
      <c r="AP357" s="697">
        <f>IF(C381="Yes",5,0)</f>
        <v>5</v>
      </c>
      <c r="AS357" s="540" t="s">
        <v>1456</v>
      </c>
    </row>
    <row r="358" spans="1:46" s="551" customFormat="1" ht="12.75" customHeight="1">
      <c r="A358" s="604"/>
      <c r="B358" s="612"/>
      <c r="C358" s="1981"/>
      <c r="D358" s="1981"/>
      <c r="E358" s="1981"/>
      <c r="F358" s="1981"/>
      <c r="G358" s="1981"/>
      <c r="H358" s="1981"/>
      <c r="I358" s="1981"/>
      <c r="J358" s="1981"/>
      <c r="K358" s="1981"/>
      <c r="L358" s="1981"/>
      <c r="M358" s="1981"/>
      <c r="N358" s="1981"/>
      <c r="O358" s="1981"/>
      <c r="P358" s="1981"/>
      <c r="Q358" s="1981"/>
      <c r="R358" s="1981"/>
      <c r="S358" s="1981"/>
      <c r="T358" s="1981"/>
      <c r="U358" s="1981"/>
      <c r="V358" s="1981"/>
      <c r="W358" s="1981"/>
      <c r="X358" s="1981"/>
      <c r="Y358" s="1981"/>
      <c r="Z358" s="1981"/>
      <c r="AA358" s="1981"/>
      <c r="AB358" s="1981"/>
      <c r="AC358" s="1981"/>
      <c r="AD358" s="1981"/>
      <c r="AE358" s="1981"/>
      <c r="AF358" s="1981"/>
      <c r="AG358" s="1981"/>
      <c r="AH358" s="1981"/>
      <c r="AI358" s="1981"/>
      <c r="AJ358" s="1981"/>
      <c r="AK358" s="604"/>
      <c r="AL358" s="604"/>
      <c r="AM358" s="604"/>
      <c r="AN358" s="598"/>
      <c r="AO358" s="696" t="s">
        <v>113</v>
      </c>
      <c r="AP358" s="697">
        <f>IF(C389="Yes",5,0)</f>
        <v>0</v>
      </c>
      <c r="AS358" s="1947">
        <f>IF(Application!D211="Non-Targeted",(SUM(AQ366+AQ375)),AS362)</f>
        <v>10</v>
      </c>
      <c r="AT358" s="1947"/>
    </row>
    <row r="359" spans="1:46" s="551" customFormat="1" ht="12.75" customHeight="1">
      <c r="A359" s="604"/>
      <c r="B359" s="612"/>
      <c r="C359" s="1981"/>
      <c r="D359" s="1981"/>
      <c r="E359" s="1981"/>
      <c r="F359" s="1981"/>
      <c r="G359" s="1981"/>
      <c r="H359" s="1981"/>
      <c r="I359" s="1981"/>
      <c r="J359" s="1981"/>
      <c r="K359" s="1981"/>
      <c r="L359" s="1981"/>
      <c r="M359" s="1981"/>
      <c r="N359" s="1981"/>
      <c r="O359" s="1981"/>
      <c r="P359" s="1981"/>
      <c r="Q359" s="1981"/>
      <c r="R359" s="1981"/>
      <c r="S359" s="1981"/>
      <c r="T359" s="1981"/>
      <c r="U359" s="1981"/>
      <c r="V359" s="1981"/>
      <c r="W359" s="1981"/>
      <c r="X359" s="1981"/>
      <c r="Y359" s="1981"/>
      <c r="Z359" s="1981"/>
      <c r="AA359" s="1981"/>
      <c r="AB359" s="1981"/>
      <c r="AC359" s="1981"/>
      <c r="AD359" s="1981"/>
      <c r="AE359" s="1981"/>
      <c r="AF359" s="1981"/>
      <c r="AG359" s="1981"/>
      <c r="AH359" s="1981"/>
      <c r="AI359" s="1981"/>
      <c r="AJ359" s="1981"/>
      <c r="AK359" s="604"/>
      <c r="AL359" s="604"/>
      <c r="AM359" s="604"/>
      <c r="AN359" s="598"/>
      <c r="AO359" s="696" t="s">
        <v>119</v>
      </c>
      <c r="AP359" s="697">
        <f>IF(C397="Yes",7,0)</f>
        <v>0</v>
      </c>
      <c r="AS359" s="540" t="s">
        <v>1457</v>
      </c>
    </row>
    <row r="360" spans="1:46" s="551" customFormat="1" ht="12.75" customHeight="1">
      <c r="A360" s="604"/>
      <c r="B360" s="612"/>
      <c r="C360" s="1981"/>
      <c r="D360" s="1981"/>
      <c r="E360" s="1981"/>
      <c r="F360" s="1981"/>
      <c r="G360" s="1981"/>
      <c r="H360" s="1981"/>
      <c r="I360" s="1981"/>
      <c r="J360" s="1981"/>
      <c r="K360" s="1981"/>
      <c r="L360" s="1981"/>
      <c r="M360" s="1981"/>
      <c r="N360" s="1981"/>
      <c r="O360" s="1981"/>
      <c r="P360" s="1981"/>
      <c r="Q360" s="1981"/>
      <c r="R360" s="1981"/>
      <c r="S360" s="1981"/>
      <c r="T360" s="1981"/>
      <c r="U360" s="1981"/>
      <c r="V360" s="1981"/>
      <c r="W360" s="1981"/>
      <c r="X360" s="1981"/>
      <c r="Y360" s="1981"/>
      <c r="Z360" s="1981"/>
      <c r="AA360" s="1981"/>
      <c r="AB360" s="1981"/>
      <c r="AC360" s="1981"/>
      <c r="AD360" s="1981"/>
      <c r="AE360" s="1981"/>
      <c r="AF360" s="1981"/>
      <c r="AG360" s="1981"/>
      <c r="AH360" s="1981"/>
      <c r="AI360" s="1981"/>
      <c r="AJ360" s="1981"/>
      <c r="AK360" s="604"/>
      <c r="AL360" s="604"/>
      <c r="AM360" s="604"/>
      <c r="AN360" s="598"/>
      <c r="AO360" s="598"/>
      <c r="AP360" s="697">
        <f>IF(C399="Yes",5,0)</f>
        <v>5</v>
      </c>
      <c r="AS360" s="1947">
        <f>IF(AND(AQ366&gt;0,AQ375&gt;0),(AQ366+AQ375)/2,0)</f>
        <v>0</v>
      </c>
      <c r="AT360" s="1947"/>
    </row>
    <row r="361" spans="1:46" s="551" customFormat="1" ht="12.75" customHeight="1">
      <c r="A361" s="604"/>
      <c r="B361" s="612"/>
      <c r="C361" s="1981"/>
      <c r="D361" s="1981"/>
      <c r="E361" s="1981"/>
      <c r="F361" s="1981"/>
      <c r="G361" s="1981"/>
      <c r="H361" s="1981"/>
      <c r="I361" s="1981"/>
      <c r="J361" s="1981"/>
      <c r="K361" s="1981"/>
      <c r="L361" s="1981"/>
      <c r="M361" s="1981"/>
      <c r="N361" s="1981"/>
      <c r="O361" s="1981"/>
      <c r="P361" s="1981"/>
      <c r="Q361" s="1981"/>
      <c r="R361" s="1981"/>
      <c r="S361" s="1981"/>
      <c r="T361" s="1981"/>
      <c r="U361" s="1981"/>
      <c r="V361" s="1981"/>
      <c r="W361" s="1981"/>
      <c r="X361" s="1981"/>
      <c r="Y361" s="1981"/>
      <c r="Z361" s="1981"/>
      <c r="AA361" s="1981"/>
      <c r="AB361" s="1981"/>
      <c r="AC361" s="1981"/>
      <c r="AD361" s="1981"/>
      <c r="AE361" s="1981"/>
      <c r="AF361" s="1981"/>
      <c r="AG361" s="1981"/>
      <c r="AH361" s="1981"/>
      <c r="AI361" s="1981"/>
      <c r="AJ361" s="1981"/>
      <c r="AK361" s="604"/>
      <c r="AL361" s="604"/>
      <c r="AM361" s="604"/>
      <c r="AN361" s="598"/>
      <c r="AO361" s="696" t="s">
        <v>581</v>
      </c>
      <c r="AP361" s="697">
        <f>IF(C407="Yes",5,0)</f>
        <v>0</v>
      </c>
      <c r="AS361" s="540" t="s">
        <v>1879</v>
      </c>
    </row>
    <row r="362" spans="1:46" s="551" customFormat="1" ht="12.75" customHeight="1">
      <c r="A362" s="604"/>
      <c r="B362" s="612"/>
      <c r="C362" s="2075" t="s">
        <v>2235</v>
      </c>
      <c r="D362" s="2075"/>
      <c r="E362" s="2075"/>
      <c r="F362" s="2075"/>
      <c r="G362" s="2075"/>
      <c r="H362" s="2075"/>
      <c r="I362" s="2075"/>
      <c r="J362" s="2075"/>
      <c r="K362" s="2075"/>
      <c r="L362" s="2075"/>
      <c r="M362" s="2075"/>
      <c r="N362" s="2075"/>
      <c r="O362" s="2075"/>
      <c r="P362" s="2075"/>
      <c r="Q362" s="2075"/>
      <c r="R362" s="2075"/>
      <c r="S362" s="2075"/>
      <c r="T362" s="2075"/>
      <c r="U362" s="2075"/>
      <c r="V362" s="2075"/>
      <c r="W362" s="2075"/>
      <c r="X362" s="2075"/>
      <c r="Y362" s="2075"/>
      <c r="Z362" s="2075"/>
      <c r="AA362" s="2075"/>
      <c r="AB362" s="2075"/>
      <c r="AC362" s="2075"/>
      <c r="AD362" s="2075"/>
      <c r="AE362" s="2075"/>
      <c r="AF362" s="2075"/>
      <c r="AG362" s="2075"/>
      <c r="AH362" s="2075"/>
      <c r="AI362" s="2075"/>
      <c r="AJ362" s="2075"/>
      <c r="AK362" s="604"/>
      <c r="AL362" s="604"/>
      <c r="AM362" s="604"/>
      <c r="AN362" s="598"/>
      <c r="AO362" s="598"/>
      <c r="AP362" s="697">
        <f>IF(C409="Yes",3,0)</f>
        <v>0</v>
      </c>
      <c r="AS362" s="1947">
        <f>IF(AQ366=0,AQ375,AQ366)</f>
        <v>10</v>
      </c>
      <c r="AT362" s="1947"/>
    </row>
    <row r="363" spans="1:46" s="551" customFormat="1" ht="12.75" customHeight="1">
      <c r="A363" s="604"/>
      <c r="B363" s="612"/>
      <c r="C363" s="2075"/>
      <c r="D363" s="2075"/>
      <c r="E363" s="2075"/>
      <c r="F363" s="2075"/>
      <c r="G363" s="2075"/>
      <c r="H363" s="2075"/>
      <c r="I363" s="2075"/>
      <c r="J363" s="2075"/>
      <c r="K363" s="2075"/>
      <c r="L363" s="2075"/>
      <c r="M363" s="2075"/>
      <c r="N363" s="2075"/>
      <c r="O363" s="2075"/>
      <c r="P363" s="2075"/>
      <c r="Q363" s="2075"/>
      <c r="R363" s="2075"/>
      <c r="S363" s="2075"/>
      <c r="T363" s="2075"/>
      <c r="U363" s="2075"/>
      <c r="V363" s="2075"/>
      <c r="W363" s="2075"/>
      <c r="X363" s="2075"/>
      <c r="Y363" s="2075"/>
      <c r="Z363" s="2075"/>
      <c r="AA363" s="2075"/>
      <c r="AB363" s="2075"/>
      <c r="AC363" s="2075"/>
      <c r="AD363" s="2075"/>
      <c r="AE363" s="2075"/>
      <c r="AF363" s="2075"/>
      <c r="AG363" s="2075"/>
      <c r="AH363" s="2075"/>
      <c r="AI363" s="2075"/>
      <c r="AJ363" s="2075"/>
      <c r="AK363" s="604"/>
      <c r="AL363" s="604"/>
      <c r="AM363" s="604"/>
      <c r="AN363" s="598"/>
      <c r="AO363" s="696" t="s">
        <v>763</v>
      </c>
      <c r="AP363" s="697">
        <f>IF(C412="Yes",5,0)</f>
        <v>0</v>
      </c>
    </row>
    <row r="364" spans="1:46" s="551" customFormat="1" ht="12.75" customHeight="1">
      <c r="A364" s="604"/>
      <c r="B364" s="612"/>
      <c r="C364" s="2075"/>
      <c r="D364" s="2075"/>
      <c r="E364" s="2075"/>
      <c r="F364" s="2075"/>
      <c r="G364" s="2075"/>
      <c r="H364" s="2075"/>
      <c r="I364" s="2075"/>
      <c r="J364" s="2075"/>
      <c r="K364" s="2075"/>
      <c r="L364" s="2075"/>
      <c r="M364" s="2075"/>
      <c r="N364" s="2075"/>
      <c r="O364" s="2075"/>
      <c r="P364" s="2075"/>
      <c r="Q364" s="2075"/>
      <c r="R364" s="2075"/>
      <c r="S364" s="2075"/>
      <c r="T364" s="2075"/>
      <c r="U364" s="2075"/>
      <c r="V364" s="2075"/>
      <c r="W364" s="2075"/>
      <c r="X364" s="2075"/>
      <c r="Y364" s="2075"/>
      <c r="Z364" s="2075"/>
      <c r="AA364" s="2075"/>
      <c r="AB364" s="2075"/>
      <c r="AC364" s="2075"/>
      <c r="AD364" s="2075"/>
      <c r="AE364" s="2075"/>
      <c r="AF364" s="2075"/>
      <c r="AG364" s="2075"/>
      <c r="AH364" s="2075"/>
      <c r="AI364" s="2075"/>
      <c r="AJ364" s="2075"/>
      <c r="AK364" s="604"/>
      <c r="AL364" s="604"/>
      <c r="AM364" s="604"/>
      <c r="AN364" s="598"/>
      <c r="AO364" s="696" t="s">
        <v>584</v>
      </c>
      <c r="AP364" s="697">
        <f>IF(C421="Yes",5,0)</f>
        <v>0</v>
      </c>
    </row>
    <row r="365" spans="1:46" s="551" customFormat="1" ht="11.85" customHeight="1">
      <c r="A365" s="604"/>
      <c r="B365" s="612"/>
      <c r="C365" s="2075"/>
      <c r="D365" s="2075"/>
      <c r="E365" s="2075"/>
      <c r="F365" s="2075"/>
      <c r="G365" s="2075"/>
      <c r="H365" s="2075"/>
      <c r="I365" s="2075"/>
      <c r="J365" s="2075"/>
      <c r="K365" s="2075"/>
      <c r="L365" s="2075"/>
      <c r="M365" s="2075"/>
      <c r="N365" s="2075"/>
      <c r="O365" s="2075"/>
      <c r="P365" s="2075"/>
      <c r="Q365" s="2075"/>
      <c r="R365" s="2075"/>
      <c r="S365" s="2075"/>
      <c r="T365" s="2075"/>
      <c r="U365" s="2075"/>
      <c r="V365" s="2075"/>
      <c r="W365" s="2075"/>
      <c r="X365" s="2075"/>
      <c r="Y365" s="2075"/>
      <c r="Z365" s="2075"/>
      <c r="AA365" s="2075"/>
      <c r="AB365" s="2075"/>
      <c r="AC365" s="2075"/>
      <c r="AD365" s="2075"/>
      <c r="AE365" s="2075"/>
      <c r="AF365" s="2075"/>
      <c r="AG365" s="2075"/>
      <c r="AH365" s="2075"/>
      <c r="AI365" s="2075"/>
      <c r="AJ365" s="2075"/>
      <c r="AK365" s="604"/>
      <c r="AL365" s="604"/>
      <c r="AM365" s="604"/>
      <c r="AN365" s="598"/>
      <c r="AO365" s="698"/>
      <c r="AP365" s="699">
        <f>IF(C423="Yes",3,0)</f>
        <v>0</v>
      </c>
    </row>
    <row r="366" spans="1:46" s="551" customFormat="1" ht="12.45" customHeight="1">
      <c r="A366" s="604"/>
      <c r="B366" s="612"/>
      <c r="C366" s="2075"/>
      <c r="D366" s="2075"/>
      <c r="E366" s="2075"/>
      <c r="F366" s="2075"/>
      <c r="G366" s="2075"/>
      <c r="H366" s="2075"/>
      <c r="I366" s="2075"/>
      <c r="J366" s="2075"/>
      <c r="K366" s="2075"/>
      <c r="L366" s="2075"/>
      <c r="M366" s="2075"/>
      <c r="N366" s="2075"/>
      <c r="O366" s="2075"/>
      <c r="P366" s="2075"/>
      <c r="Q366" s="2075"/>
      <c r="R366" s="2075"/>
      <c r="S366" s="2075"/>
      <c r="T366" s="2075"/>
      <c r="U366" s="2075"/>
      <c r="V366" s="2075"/>
      <c r="W366" s="2075"/>
      <c r="X366" s="2075"/>
      <c r="Y366" s="2075"/>
      <c r="Z366" s="2075"/>
      <c r="AA366" s="2075"/>
      <c r="AB366" s="2075"/>
      <c r="AC366" s="2075"/>
      <c r="AD366" s="2075"/>
      <c r="AE366" s="2075"/>
      <c r="AF366" s="2075"/>
      <c r="AG366" s="2075"/>
      <c r="AH366" s="2075"/>
      <c r="AI366" s="2075"/>
      <c r="AJ366" s="2075"/>
      <c r="AK366" s="604"/>
      <c r="AL366" s="604"/>
      <c r="AM366" s="604"/>
      <c r="AN366" s="598"/>
      <c r="AO366" s="700" t="s">
        <v>226</v>
      </c>
      <c r="AP366" s="701">
        <f>SUM(AP357:AP365)</f>
        <v>10</v>
      </c>
      <c r="AQ366" s="1984">
        <f>IF(AP366&gt;0,AP366,0)</f>
        <v>10</v>
      </c>
      <c r="AR366" s="1984"/>
    </row>
    <row r="367" spans="1:46" s="551" customFormat="1" ht="12.75" customHeight="1">
      <c r="A367" s="604"/>
      <c r="B367" s="612"/>
      <c r="C367" s="2075"/>
      <c r="D367" s="2075"/>
      <c r="E367" s="2075"/>
      <c r="F367" s="2075"/>
      <c r="G367" s="2075"/>
      <c r="H367" s="2075"/>
      <c r="I367" s="2075"/>
      <c r="J367" s="2075"/>
      <c r="K367" s="2075"/>
      <c r="L367" s="2075"/>
      <c r="M367" s="2075"/>
      <c r="N367" s="2075"/>
      <c r="O367" s="2075"/>
      <c r="P367" s="2075"/>
      <c r="Q367" s="2075"/>
      <c r="R367" s="2075"/>
      <c r="S367" s="2075"/>
      <c r="T367" s="2075"/>
      <c r="U367" s="2075"/>
      <c r="V367" s="2075"/>
      <c r="W367" s="2075"/>
      <c r="X367" s="2075"/>
      <c r="Y367" s="2075"/>
      <c r="Z367" s="2075"/>
      <c r="AA367" s="2075"/>
      <c r="AB367" s="2075"/>
      <c r="AC367" s="2075"/>
      <c r="AD367" s="2075"/>
      <c r="AE367" s="2075"/>
      <c r="AF367" s="2075"/>
      <c r="AG367" s="2075"/>
      <c r="AH367" s="2075"/>
      <c r="AI367" s="2075"/>
      <c r="AJ367" s="2075"/>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1981" t="s">
        <v>1458</v>
      </c>
      <c r="D369" s="1981"/>
      <c r="E369" s="1981"/>
      <c r="F369" s="1981"/>
      <c r="G369" s="1981"/>
      <c r="H369" s="1981"/>
      <c r="I369" s="1981"/>
      <c r="J369" s="1981"/>
      <c r="K369" s="1981"/>
      <c r="L369" s="1981"/>
      <c r="M369" s="1981"/>
      <c r="N369" s="1981"/>
      <c r="O369" s="1981"/>
      <c r="P369" s="1981"/>
      <c r="Q369" s="1981"/>
      <c r="R369" s="1981"/>
      <c r="S369" s="1981"/>
      <c r="T369" s="1981"/>
      <c r="U369" s="1981"/>
      <c r="V369" s="1981"/>
      <c r="W369" s="1981"/>
      <c r="X369" s="1981"/>
      <c r="Y369" s="1981"/>
      <c r="Z369" s="1981"/>
      <c r="AA369" s="1981"/>
      <c r="AB369" s="1981"/>
      <c r="AC369" s="1981"/>
      <c r="AD369" s="1981"/>
      <c r="AE369" s="1981"/>
      <c r="AF369" s="1981"/>
      <c r="AG369" s="1981"/>
      <c r="AH369" s="1981"/>
      <c r="AI369" s="1981"/>
      <c r="AJ369" s="1981"/>
      <c r="AK369" s="604"/>
      <c r="AL369" s="604"/>
      <c r="AM369" s="604"/>
      <c r="AN369" s="598"/>
      <c r="AO369" s="696" t="s">
        <v>456</v>
      </c>
      <c r="AP369" s="697">
        <f>IF(C442="Yes",5,0)</f>
        <v>0</v>
      </c>
    </row>
    <row r="370" spans="1:81" s="551" customFormat="1" ht="12.75" customHeight="1">
      <c r="A370" s="604"/>
      <c r="B370" s="612"/>
      <c r="C370" s="1981"/>
      <c r="D370" s="1981"/>
      <c r="E370" s="1981"/>
      <c r="F370" s="1981"/>
      <c r="G370" s="1981"/>
      <c r="H370" s="1981"/>
      <c r="I370" s="1981"/>
      <c r="J370" s="1981"/>
      <c r="K370" s="1981"/>
      <c r="L370" s="1981"/>
      <c r="M370" s="1981"/>
      <c r="N370" s="1981"/>
      <c r="O370" s="1981"/>
      <c r="P370" s="1981"/>
      <c r="Q370" s="1981"/>
      <c r="R370" s="1981"/>
      <c r="S370" s="1981"/>
      <c r="T370" s="1981"/>
      <c r="U370" s="1981"/>
      <c r="V370" s="1981"/>
      <c r="W370" s="1981"/>
      <c r="X370" s="1981"/>
      <c r="Y370" s="1981"/>
      <c r="Z370" s="1981"/>
      <c r="AA370" s="1981"/>
      <c r="AB370" s="1981"/>
      <c r="AC370" s="1981"/>
      <c r="AD370" s="1981"/>
      <c r="AE370" s="1981"/>
      <c r="AF370" s="1981"/>
      <c r="AG370" s="1981"/>
      <c r="AH370" s="1981"/>
      <c r="AI370" s="1981"/>
      <c r="AJ370" s="1981"/>
      <c r="AK370" s="604"/>
      <c r="AL370" s="604"/>
      <c r="AM370" s="604"/>
      <c r="AN370" s="598"/>
      <c r="AO370" s="696" t="s">
        <v>461</v>
      </c>
      <c r="AP370" s="697">
        <f>IF(C449="Yes",5,0)</f>
        <v>0</v>
      </c>
    </row>
    <row r="371" spans="1:81" s="551" customFormat="1" ht="68.099999999999994" customHeight="1">
      <c r="A371" s="604"/>
      <c r="B371" s="612"/>
      <c r="C371" s="1981"/>
      <c r="D371" s="1981"/>
      <c r="E371" s="1981"/>
      <c r="F371" s="1981"/>
      <c r="G371" s="1981"/>
      <c r="H371" s="1981"/>
      <c r="I371" s="1981"/>
      <c r="J371" s="1981"/>
      <c r="K371" s="1981"/>
      <c r="L371" s="1981"/>
      <c r="M371" s="1981"/>
      <c r="N371" s="1981"/>
      <c r="O371" s="1981"/>
      <c r="P371" s="1981"/>
      <c r="Q371" s="1981"/>
      <c r="R371" s="1981"/>
      <c r="S371" s="1981"/>
      <c r="T371" s="1981"/>
      <c r="U371" s="1981"/>
      <c r="V371" s="1981"/>
      <c r="W371" s="1981"/>
      <c r="X371" s="1981"/>
      <c r="Y371" s="1981"/>
      <c r="Z371" s="1981"/>
      <c r="AA371" s="1981"/>
      <c r="AB371" s="1981"/>
      <c r="AC371" s="1981"/>
      <c r="AD371" s="1981"/>
      <c r="AE371" s="1981"/>
      <c r="AF371" s="1981"/>
      <c r="AG371" s="1981"/>
      <c r="AH371" s="1981"/>
      <c r="AI371" s="1981"/>
      <c r="AJ371" s="1981"/>
      <c r="AK371" s="604"/>
      <c r="AL371" s="604"/>
      <c r="AM371" s="604"/>
      <c r="AN371" s="598"/>
      <c r="AO371" s="696" t="s">
        <v>646</v>
      </c>
      <c r="AP371" s="702">
        <f>IF(C453="Yes",5,0)</f>
        <v>0</v>
      </c>
    </row>
    <row r="372" spans="1:81" s="551" customFormat="1" ht="12.4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1982">
        <f>Application!DU802-U374</f>
        <v>63</v>
      </c>
      <c r="V373" s="1982"/>
      <c r="W373" s="1982"/>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1983">
        <f>IF(Application!D211="SRO",Application!DU755,Application!AG756)</f>
        <v>0</v>
      </c>
      <c r="V374" s="1983"/>
      <c r="W374" s="1983"/>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1984">
        <f>IF(AP375&gt;0,AP375,0)</f>
        <v>0</v>
      </c>
      <c r="AR375" s="1984"/>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1975" t="s">
        <v>1460</v>
      </c>
      <c r="G377" s="1975"/>
      <c r="H377" s="1975"/>
      <c r="I377" s="1975"/>
      <c r="J377" s="1975"/>
      <c r="K377" s="1975"/>
      <c r="L377" s="1975"/>
      <c r="M377" s="1975"/>
      <c r="N377" s="1975"/>
      <c r="O377" s="1975"/>
      <c r="P377" s="1975"/>
      <c r="Q377" s="1975"/>
      <c r="R377" s="1975"/>
      <c r="S377" s="1975"/>
      <c r="T377" s="1975"/>
      <c r="U377" s="1975"/>
      <c r="V377" s="1975"/>
      <c r="W377" s="1975"/>
      <c r="X377" s="1975"/>
      <c r="Y377" s="1975"/>
      <c r="Z377" s="1975"/>
      <c r="AA377" s="1975"/>
      <c r="AB377" s="1975"/>
      <c r="AC377" s="1975"/>
      <c r="AD377" s="1975"/>
      <c r="AE377" s="1975"/>
      <c r="AF377" s="1975"/>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1976"/>
      <c r="G378" s="1976"/>
      <c r="H378" s="1976"/>
      <c r="I378" s="1976"/>
      <c r="J378" s="1976"/>
      <c r="K378" s="1976"/>
      <c r="L378" s="1976"/>
      <c r="M378" s="1976"/>
      <c r="N378" s="1976"/>
      <c r="O378" s="1976"/>
      <c r="P378" s="1976"/>
      <c r="Q378" s="1976"/>
      <c r="R378" s="1976"/>
      <c r="S378" s="1976"/>
      <c r="T378" s="1976"/>
      <c r="U378" s="1976"/>
      <c r="V378" s="1976"/>
      <c r="W378" s="1976"/>
      <c r="X378" s="1976"/>
      <c r="Y378" s="1976"/>
      <c r="Z378" s="1976"/>
      <c r="AA378" s="1976"/>
      <c r="AB378" s="1976"/>
      <c r="AC378" s="1976"/>
      <c r="AD378" s="1976"/>
      <c r="AE378" s="1976"/>
      <c r="AF378" s="1976"/>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1976"/>
      <c r="G379" s="1976"/>
      <c r="H379" s="1976"/>
      <c r="I379" s="1976"/>
      <c r="J379" s="1976"/>
      <c r="K379" s="1976"/>
      <c r="L379" s="1976"/>
      <c r="M379" s="1976"/>
      <c r="N379" s="1976"/>
      <c r="O379" s="1976"/>
      <c r="P379" s="1976"/>
      <c r="Q379" s="1976"/>
      <c r="R379" s="1976"/>
      <c r="S379" s="1976"/>
      <c r="T379" s="1976"/>
      <c r="U379" s="1976"/>
      <c r="V379" s="1976"/>
      <c r="W379" s="1976"/>
      <c r="X379" s="1976"/>
      <c r="Y379" s="1976"/>
      <c r="Z379" s="1976"/>
      <c r="AA379" s="1976"/>
      <c r="AB379" s="1976"/>
      <c r="AC379" s="1976"/>
      <c r="AD379" s="1976"/>
      <c r="AE379" s="1976"/>
      <c r="AF379" s="1976"/>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1976"/>
      <c r="G380" s="1976"/>
      <c r="H380" s="1976"/>
      <c r="I380" s="1976"/>
      <c r="J380" s="1976"/>
      <c r="K380" s="1976"/>
      <c r="L380" s="1976"/>
      <c r="M380" s="1976"/>
      <c r="N380" s="1976"/>
      <c r="O380" s="1976"/>
      <c r="P380" s="1976"/>
      <c r="Q380" s="1976"/>
      <c r="R380" s="1976"/>
      <c r="S380" s="1976"/>
      <c r="T380" s="1976"/>
      <c r="U380" s="1976"/>
      <c r="V380" s="1976"/>
      <c r="W380" s="1976"/>
      <c r="X380" s="1976"/>
      <c r="Y380" s="1976"/>
      <c r="Z380" s="1976"/>
      <c r="AA380" s="1976"/>
      <c r="AB380" s="1976"/>
      <c r="AC380" s="1976"/>
      <c r="AD380" s="1976"/>
      <c r="AE380" s="1976"/>
      <c r="AF380" s="1976"/>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1985" t="s">
        <v>545</v>
      </c>
      <c r="D381" s="1986"/>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1987" t="s">
        <v>1462</v>
      </c>
      <c r="AG381" s="1987"/>
      <c r="AH381" s="1987"/>
      <c r="AI381" s="1987"/>
      <c r="AJ381" s="1987"/>
      <c r="AK381" s="1987"/>
      <c r="AL381" s="1988"/>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1975" t="s">
        <v>1463</v>
      </c>
      <c r="G384" s="1975"/>
      <c r="H384" s="1975"/>
      <c r="I384" s="1975"/>
      <c r="J384" s="1975"/>
      <c r="K384" s="1975"/>
      <c r="L384" s="1975"/>
      <c r="M384" s="1975"/>
      <c r="N384" s="1975"/>
      <c r="O384" s="1975"/>
      <c r="P384" s="1975"/>
      <c r="Q384" s="1975"/>
      <c r="R384" s="1975"/>
      <c r="S384" s="1975"/>
      <c r="T384" s="1975"/>
      <c r="U384" s="1975"/>
      <c r="V384" s="1975"/>
      <c r="W384" s="1975"/>
      <c r="X384" s="1975"/>
      <c r="Y384" s="1975"/>
      <c r="Z384" s="1975"/>
      <c r="AA384" s="1975"/>
      <c r="AB384" s="1975"/>
      <c r="AC384" s="1975"/>
      <c r="AD384" s="1975"/>
      <c r="AE384" s="1975"/>
      <c r="AF384" s="1975"/>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1976"/>
      <c r="G385" s="1976"/>
      <c r="H385" s="1976"/>
      <c r="I385" s="1976"/>
      <c r="J385" s="1976"/>
      <c r="K385" s="1976"/>
      <c r="L385" s="1976"/>
      <c r="M385" s="1976"/>
      <c r="N385" s="1976"/>
      <c r="O385" s="1976"/>
      <c r="P385" s="1976"/>
      <c r="Q385" s="1976"/>
      <c r="R385" s="1976"/>
      <c r="S385" s="1976"/>
      <c r="T385" s="1976"/>
      <c r="U385" s="1976"/>
      <c r="V385" s="1976"/>
      <c r="W385" s="1976"/>
      <c r="X385" s="1976"/>
      <c r="Y385" s="1976"/>
      <c r="Z385" s="1976"/>
      <c r="AA385" s="1976"/>
      <c r="AB385" s="1976"/>
      <c r="AC385" s="1976"/>
      <c r="AD385" s="1976"/>
      <c r="AE385" s="1976"/>
      <c r="AF385" s="1976"/>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1976"/>
      <c r="G386" s="1976"/>
      <c r="H386" s="1976"/>
      <c r="I386" s="1976"/>
      <c r="J386" s="1976"/>
      <c r="K386" s="1976"/>
      <c r="L386" s="1976"/>
      <c r="M386" s="1976"/>
      <c r="N386" s="1976"/>
      <c r="O386" s="1976"/>
      <c r="P386" s="1976"/>
      <c r="Q386" s="1976"/>
      <c r="R386" s="1976"/>
      <c r="S386" s="1976"/>
      <c r="T386" s="1976"/>
      <c r="U386" s="1976"/>
      <c r="V386" s="1976"/>
      <c r="W386" s="1976"/>
      <c r="X386" s="1976"/>
      <c r="Y386" s="1976"/>
      <c r="Z386" s="1976"/>
      <c r="AA386" s="1976"/>
      <c r="AB386" s="1976"/>
      <c r="AC386" s="1976"/>
      <c r="AD386" s="1976"/>
      <c r="AE386" s="1976"/>
      <c r="AF386" s="1976"/>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1976"/>
      <c r="G387" s="1976"/>
      <c r="H387" s="1976"/>
      <c r="I387" s="1976"/>
      <c r="J387" s="1976"/>
      <c r="K387" s="1976"/>
      <c r="L387" s="1976"/>
      <c r="M387" s="1976"/>
      <c r="N387" s="1976"/>
      <c r="O387" s="1976"/>
      <c r="P387" s="1976"/>
      <c r="Q387" s="1976"/>
      <c r="R387" s="1976"/>
      <c r="S387" s="1976"/>
      <c r="T387" s="1976"/>
      <c r="U387" s="1976"/>
      <c r="V387" s="1976"/>
      <c r="W387" s="1976"/>
      <c r="X387" s="1976"/>
      <c r="Y387" s="1976"/>
      <c r="Z387" s="1976"/>
      <c r="AA387" s="1976"/>
      <c r="AB387" s="1976"/>
      <c r="AC387" s="1976"/>
      <c r="AD387" s="1976"/>
      <c r="AE387" s="1976"/>
      <c r="AF387" s="1976"/>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1976"/>
      <c r="G388" s="1976"/>
      <c r="H388" s="1976"/>
      <c r="I388" s="1976"/>
      <c r="J388" s="1976"/>
      <c r="K388" s="1976"/>
      <c r="L388" s="1976"/>
      <c r="M388" s="1976"/>
      <c r="N388" s="1976"/>
      <c r="O388" s="1976"/>
      <c r="P388" s="1976"/>
      <c r="Q388" s="1976"/>
      <c r="R388" s="1976"/>
      <c r="S388" s="1976"/>
      <c r="T388" s="1976"/>
      <c r="U388" s="1976"/>
      <c r="V388" s="1976"/>
      <c r="W388" s="1976"/>
      <c r="X388" s="1976"/>
      <c r="Y388" s="1976"/>
      <c r="Z388" s="1976"/>
      <c r="AA388" s="1976"/>
      <c r="AB388" s="1976"/>
      <c r="AC388" s="1976"/>
      <c r="AD388" s="1976"/>
      <c r="AE388" s="1976"/>
      <c r="AF388" s="1976"/>
      <c r="AL388" s="733"/>
      <c r="AN388" s="598"/>
      <c r="BS388" s="30"/>
      <c r="BT388" s="30"/>
      <c r="BU388" s="14"/>
      <c r="BV388" s="14"/>
      <c r="BW388" s="14"/>
      <c r="BX388" s="14"/>
      <c r="BY388" s="14"/>
      <c r="BZ388" s="14"/>
      <c r="CA388" s="14"/>
      <c r="CB388" s="14"/>
      <c r="CC388" s="14"/>
    </row>
    <row r="389" spans="1:81" s="551" customFormat="1" ht="12.75" customHeight="1">
      <c r="A389" s="537"/>
      <c r="B389" s="14"/>
      <c r="C389" s="1985" t="s">
        <v>591</v>
      </c>
      <c r="D389" s="1986"/>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1987" t="s">
        <v>1462</v>
      </c>
      <c r="AG389" s="1987"/>
      <c r="AH389" s="1987"/>
      <c r="AI389" s="1987"/>
      <c r="AJ389" s="1987"/>
      <c r="AK389" s="1987"/>
      <c r="AL389" s="1988"/>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1975" t="s">
        <v>1465</v>
      </c>
      <c r="G392" s="1975"/>
      <c r="H392" s="1975"/>
      <c r="I392" s="1975"/>
      <c r="J392" s="1975"/>
      <c r="K392" s="1975"/>
      <c r="L392" s="1975"/>
      <c r="M392" s="1975"/>
      <c r="N392" s="1975"/>
      <c r="O392" s="1975"/>
      <c r="P392" s="1975"/>
      <c r="Q392" s="1975"/>
      <c r="R392" s="1975"/>
      <c r="S392" s="1975"/>
      <c r="T392" s="1975"/>
      <c r="U392" s="1975"/>
      <c r="V392" s="1975"/>
      <c r="W392" s="1975"/>
      <c r="X392" s="1975"/>
      <c r="Y392" s="1975"/>
      <c r="Z392" s="1975"/>
      <c r="AA392" s="1975"/>
      <c r="AB392" s="1975"/>
      <c r="AC392" s="1975"/>
      <c r="AD392" s="1975"/>
      <c r="AE392" s="1975"/>
      <c r="AF392" s="1975"/>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1976"/>
      <c r="G393" s="1976"/>
      <c r="H393" s="1976"/>
      <c r="I393" s="1976"/>
      <c r="J393" s="1976"/>
      <c r="K393" s="1976"/>
      <c r="L393" s="1976"/>
      <c r="M393" s="1976"/>
      <c r="N393" s="1976"/>
      <c r="O393" s="1976"/>
      <c r="P393" s="1976"/>
      <c r="Q393" s="1976"/>
      <c r="R393" s="1976"/>
      <c r="S393" s="1976"/>
      <c r="T393" s="1976"/>
      <c r="U393" s="1976"/>
      <c r="V393" s="1976"/>
      <c r="W393" s="1976"/>
      <c r="X393" s="1976"/>
      <c r="Y393" s="1976"/>
      <c r="Z393" s="1976"/>
      <c r="AA393" s="1976"/>
      <c r="AB393" s="1976"/>
      <c r="AC393" s="1976"/>
      <c r="AD393" s="1976"/>
      <c r="AE393" s="1976"/>
      <c r="AF393" s="1976"/>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1976"/>
      <c r="G394" s="1976"/>
      <c r="H394" s="1976"/>
      <c r="I394" s="1976"/>
      <c r="J394" s="1976"/>
      <c r="K394" s="1976"/>
      <c r="L394" s="1976"/>
      <c r="M394" s="1976"/>
      <c r="N394" s="1976"/>
      <c r="O394" s="1976"/>
      <c r="P394" s="1976"/>
      <c r="Q394" s="1976"/>
      <c r="R394" s="1976"/>
      <c r="S394" s="1976"/>
      <c r="T394" s="1976"/>
      <c r="U394" s="1976"/>
      <c r="V394" s="1976"/>
      <c r="W394" s="1976"/>
      <c r="X394" s="1976"/>
      <c r="Y394" s="1976"/>
      <c r="Z394" s="1976"/>
      <c r="AA394" s="1976"/>
      <c r="AB394" s="1976"/>
      <c r="AC394" s="1976"/>
      <c r="AD394" s="1976"/>
      <c r="AE394" s="1976"/>
      <c r="AF394" s="1976"/>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1976"/>
      <c r="G395" s="1976"/>
      <c r="H395" s="1976"/>
      <c r="I395" s="1976"/>
      <c r="J395" s="1976"/>
      <c r="K395" s="1976"/>
      <c r="L395" s="1976"/>
      <c r="M395" s="1976"/>
      <c r="N395" s="1976"/>
      <c r="O395" s="1976"/>
      <c r="P395" s="1976"/>
      <c r="Q395" s="1976"/>
      <c r="R395" s="1976"/>
      <c r="S395" s="1976"/>
      <c r="T395" s="1976"/>
      <c r="U395" s="1976"/>
      <c r="V395" s="1976"/>
      <c r="W395" s="1976"/>
      <c r="X395" s="1976"/>
      <c r="Y395" s="1976"/>
      <c r="Z395" s="1976"/>
      <c r="AA395" s="1976"/>
      <c r="AB395" s="1976"/>
      <c r="AC395" s="1976"/>
      <c r="AD395" s="1976"/>
      <c r="AE395" s="1976"/>
      <c r="AF395" s="1976"/>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1976"/>
      <c r="G396" s="1976"/>
      <c r="H396" s="1976"/>
      <c r="I396" s="1976"/>
      <c r="J396" s="1976"/>
      <c r="K396" s="1976"/>
      <c r="L396" s="1976"/>
      <c r="M396" s="1976"/>
      <c r="N396" s="1976"/>
      <c r="O396" s="1976"/>
      <c r="P396" s="1976"/>
      <c r="Q396" s="1976"/>
      <c r="R396" s="1976"/>
      <c r="S396" s="1976"/>
      <c r="T396" s="1976"/>
      <c r="U396" s="1976"/>
      <c r="V396" s="1976"/>
      <c r="W396" s="1976"/>
      <c r="X396" s="1976"/>
      <c r="Y396" s="1976"/>
      <c r="Z396" s="1976"/>
      <c r="AA396" s="1976"/>
      <c r="AB396" s="1976"/>
      <c r="AC396" s="1976"/>
      <c r="AD396" s="1976"/>
      <c r="AE396" s="1976"/>
      <c r="AF396" s="1976"/>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1985" t="s">
        <v>591</v>
      </c>
      <c r="D397" s="1986"/>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1987" t="s">
        <v>1467</v>
      </c>
      <c r="AG397" s="1987"/>
      <c r="AH397" s="1987"/>
      <c r="AI397" s="1987"/>
      <c r="AJ397" s="1987"/>
      <c r="AK397" s="1987"/>
      <c r="AL397" s="1988"/>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1985" t="s">
        <v>545</v>
      </c>
      <c r="D399" s="1986"/>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1987" t="s">
        <v>1462</v>
      </c>
      <c r="AG399" s="1987"/>
      <c r="AH399" s="1987"/>
      <c r="AI399" s="1987"/>
      <c r="AJ399" s="1987"/>
      <c r="AK399" s="1987"/>
      <c r="AL399" s="1988"/>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1975" t="s">
        <v>1471</v>
      </c>
      <c r="G403" s="1975"/>
      <c r="H403" s="1975"/>
      <c r="I403" s="1975"/>
      <c r="J403" s="1975"/>
      <c r="K403" s="1975"/>
      <c r="L403" s="1975"/>
      <c r="M403" s="1975"/>
      <c r="N403" s="1975"/>
      <c r="O403" s="1975"/>
      <c r="P403" s="1975"/>
      <c r="Q403" s="1975"/>
      <c r="R403" s="1975"/>
      <c r="S403" s="1975"/>
      <c r="T403" s="1975"/>
      <c r="U403" s="1975"/>
      <c r="V403" s="1975"/>
      <c r="W403" s="1975"/>
      <c r="X403" s="1975"/>
      <c r="Y403" s="1975"/>
      <c r="Z403" s="1975"/>
      <c r="AA403" s="1975"/>
      <c r="AB403" s="1975"/>
      <c r="AC403" s="1975"/>
      <c r="AD403" s="1975"/>
      <c r="AE403" s="1975"/>
      <c r="AF403" s="1975"/>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1976"/>
      <c r="G404" s="1976"/>
      <c r="H404" s="1976"/>
      <c r="I404" s="1976"/>
      <c r="J404" s="1976"/>
      <c r="K404" s="1976"/>
      <c r="L404" s="1976"/>
      <c r="M404" s="1976"/>
      <c r="N404" s="1976"/>
      <c r="O404" s="1976"/>
      <c r="P404" s="1976"/>
      <c r="Q404" s="1976"/>
      <c r="R404" s="1976"/>
      <c r="S404" s="1976"/>
      <c r="T404" s="1976"/>
      <c r="U404" s="1976"/>
      <c r="V404" s="1976"/>
      <c r="W404" s="1976"/>
      <c r="X404" s="1976"/>
      <c r="Y404" s="1976"/>
      <c r="Z404" s="1976"/>
      <c r="AA404" s="1976"/>
      <c r="AB404" s="1976"/>
      <c r="AC404" s="1976"/>
      <c r="AD404" s="1976"/>
      <c r="AE404" s="1976"/>
      <c r="AF404" s="1976"/>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1976"/>
      <c r="G405" s="1976"/>
      <c r="H405" s="1976"/>
      <c r="I405" s="1976"/>
      <c r="J405" s="1976"/>
      <c r="K405" s="1976"/>
      <c r="L405" s="1976"/>
      <c r="M405" s="1976"/>
      <c r="N405" s="1976"/>
      <c r="O405" s="1976"/>
      <c r="P405" s="1976"/>
      <c r="Q405" s="1976"/>
      <c r="R405" s="1976"/>
      <c r="S405" s="1976"/>
      <c r="T405" s="1976"/>
      <c r="U405" s="1976"/>
      <c r="V405" s="1976"/>
      <c r="W405" s="1976"/>
      <c r="X405" s="1976"/>
      <c r="Y405" s="1976"/>
      <c r="Z405" s="1976"/>
      <c r="AA405" s="1976"/>
      <c r="AB405" s="1976"/>
      <c r="AC405" s="1976"/>
      <c r="AD405" s="1976"/>
      <c r="AE405" s="1976"/>
      <c r="AF405" s="1976"/>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1976"/>
      <c r="G406" s="1976"/>
      <c r="H406" s="1976"/>
      <c r="I406" s="1976"/>
      <c r="J406" s="1976"/>
      <c r="K406" s="1976"/>
      <c r="L406" s="1976"/>
      <c r="M406" s="1976"/>
      <c r="N406" s="1976"/>
      <c r="O406" s="1976"/>
      <c r="P406" s="1976"/>
      <c r="Q406" s="1976"/>
      <c r="R406" s="1976"/>
      <c r="S406" s="1976"/>
      <c r="T406" s="1976"/>
      <c r="U406" s="1976"/>
      <c r="V406" s="1976"/>
      <c r="W406" s="1976"/>
      <c r="X406" s="1976"/>
      <c r="Y406" s="1976"/>
      <c r="Z406" s="1976"/>
      <c r="AA406" s="1976"/>
      <c r="AB406" s="1976"/>
      <c r="AC406" s="1976"/>
      <c r="AD406" s="1976"/>
      <c r="AE406" s="1976"/>
      <c r="AF406" s="1976"/>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1985" t="s">
        <v>591</v>
      </c>
      <c r="D407" s="1986"/>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1987" t="s">
        <v>1462</v>
      </c>
      <c r="AG407" s="1987"/>
      <c r="AH407" s="1987"/>
      <c r="AI407" s="1987"/>
      <c r="AJ407" s="1987"/>
      <c r="AK407" s="1987"/>
      <c r="AL407" s="1988"/>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1985" t="s">
        <v>591</v>
      </c>
      <c r="D409" s="1986"/>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1987" t="s">
        <v>1474</v>
      </c>
      <c r="AG409" s="1987"/>
      <c r="AH409" s="1987"/>
      <c r="AI409" s="1987"/>
      <c r="AJ409" s="1987"/>
      <c r="AK409" s="1987"/>
      <c r="AL409" s="1988"/>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1985" t="s">
        <v>591</v>
      </c>
      <c r="D412" s="1986"/>
      <c r="E412" s="716" t="s">
        <v>1475</v>
      </c>
      <c r="F412" s="1975" t="s">
        <v>1476</v>
      </c>
      <c r="G412" s="1975"/>
      <c r="H412" s="1975"/>
      <c r="I412" s="1975"/>
      <c r="J412" s="1975"/>
      <c r="K412" s="1975"/>
      <c r="L412" s="1975"/>
      <c r="M412" s="1975"/>
      <c r="N412" s="1975"/>
      <c r="O412" s="1975"/>
      <c r="P412" s="1975"/>
      <c r="Q412" s="1975"/>
      <c r="R412" s="1975"/>
      <c r="S412" s="1975"/>
      <c r="T412" s="1975"/>
      <c r="U412" s="1975"/>
      <c r="V412" s="1975"/>
      <c r="W412" s="1975"/>
      <c r="X412" s="1975"/>
      <c r="Y412" s="1975"/>
      <c r="Z412" s="1975"/>
      <c r="AA412" s="1975"/>
      <c r="AB412" s="1975"/>
      <c r="AC412" s="1975"/>
      <c r="AD412" s="1975"/>
      <c r="AE412" s="1975"/>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1976"/>
      <c r="G413" s="1976"/>
      <c r="H413" s="1976"/>
      <c r="I413" s="1976"/>
      <c r="J413" s="1976"/>
      <c r="K413" s="1976"/>
      <c r="L413" s="1976"/>
      <c r="M413" s="1976"/>
      <c r="N413" s="1976"/>
      <c r="O413" s="1976"/>
      <c r="P413" s="1976"/>
      <c r="Q413" s="1976"/>
      <c r="R413" s="1976"/>
      <c r="S413" s="1976"/>
      <c r="T413" s="1976"/>
      <c r="U413" s="1976"/>
      <c r="V413" s="1976"/>
      <c r="W413" s="1976"/>
      <c r="X413" s="1976"/>
      <c r="Y413" s="1976"/>
      <c r="Z413" s="1976"/>
      <c r="AA413" s="1976"/>
      <c r="AB413" s="1976"/>
      <c r="AC413" s="1976"/>
      <c r="AD413" s="1976"/>
      <c r="AE413" s="1976"/>
      <c r="AF413" s="2065" t="s">
        <v>1462</v>
      </c>
      <c r="AG413" s="2065"/>
      <c r="AH413" s="2065"/>
      <c r="AI413" s="2065"/>
      <c r="AJ413" s="2065"/>
      <c r="AK413" s="2065"/>
      <c r="AL413" s="2074"/>
      <c r="AM413" s="571"/>
      <c r="AN413" s="598"/>
      <c r="BS413" s="571"/>
      <c r="BT413" s="571"/>
      <c r="BY413" s="571"/>
      <c r="BZ413" s="571"/>
      <c r="CA413" s="571"/>
      <c r="CB413" s="571"/>
      <c r="CC413" s="571"/>
    </row>
    <row r="414" spans="1:81" s="551" customFormat="1" ht="12.75" customHeight="1">
      <c r="A414" s="537"/>
      <c r="B414" s="14"/>
      <c r="C414" s="732"/>
      <c r="D414" s="14"/>
      <c r="E414" s="692"/>
      <c r="F414" s="1976"/>
      <c r="G414" s="1976"/>
      <c r="H414" s="1976"/>
      <c r="I414" s="1976"/>
      <c r="J414" s="1976"/>
      <c r="K414" s="1976"/>
      <c r="L414" s="1976"/>
      <c r="M414" s="1976"/>
      <c r="N414" s="1976"/>
      <c r="O414" s="1976"/>
      <c r="P414" s="1976"/>
      <c r="Q414" s="1976"/>
      <c r="R414" s="1976"/>
      <c r="S414" s="1976"/>
      <c r="T414" s="1976"/>
      <c r="U414" s="1976"/>
      <c r="V414" s="1976"/>
      <c r="W414" s="1976"/>
      <c r="X414" s="1976"/>
      <c r="Y414" s="1976"/>
      <c r="Z414" s="1976"/>
      <c r="AA414" s="1976"/>
      <c r="AB414" s="1976"/>
      <c r="AC414" s="1976"/>
      <c r="AD414" s="1976"/>
      <c r="AE414" s="1976"/>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1977"/>
      <c r="G415" s="1977"/>
      <c r="H415" s="1977"/>
      <c r="I415" s="1977"/>
      <c r="J415" s="1977"/>
      <c r="K415" s="1977"/>
      <c r="L415" s="1977"/>
      <c r="M415" s="1977"/>
      <c r="N415" s="1977"/>
      <c r="O415" s="1977"/>
      <c r="P415" s="1977"/>
      <c r="Q415" s="1977"/>
      <c r="R415" s="1977"/>
      <c r="S415" s="1977"/>
      <c r="T415" s="1977"/>
      <c r="U415" s="1977"/>
      <c r="V415" s="1977"/>
      <c r="W415" s="1977"/>
      <c r="X415" s="1977"/>
      <c r="Y415" s="1977"/>
      <c r="Z415" s="1977"/>
      <c r="AA415" s="1977"/>
      <c r="AB415" s="1977"/>
      <c r="AC415" s="1977"/>
      <c r="AD415" s="1977"/>
      <c r="AE415" s="1977"/>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1975" t="s">
        <v>1478</v>
      </c>
      <c r="G417" s="1975"/>
      <c r="H417" s="1975"/>
      <c r="I417" s="1975"/>
      <c r="J417" s="1975"/>
      <c r="K417" s="1975"/>
      <c r="L417" s="1975"/>
      <c r="M417" s="1975"/>
      <c r="N417" s="1975"/>
      <c r="O417" s="1975"/>
      <c r="P417" s="1975"/>
      <c r="Q417" s="1975"/>
      <c r="R417" s="1975"/>
      <c r="S417" s="1975"/>
      <c r="T417" s="1975"/>
      <c r="U417" s="1975"/>
      <c r="V417" s="1975"/>
      <c r="W417" s="1975"/>
      <c r="X417" s="1975"/>
      <c r="Y417" s="1975"/>
      <c r="Z417" s="1975"/>
      <c r="AA417" s="1975"/>
      <c r="AB417" s="1975"/>
      <c r="AC417" s="1975"/>
      <c r="AD417" s="1975"/>
      <c r="AE417" s="1975"/>
      <c r="AF417" s="748"/>
      <c r="AG417" s="748"/>
      <c r="AH417" s="748"/>
      <c r="AI417" s="748"/>
      <c r="AJ417" s="748"/>
      <c r="AK417" s="748"/>
      <c r="AL417" s="749"/>
      <c r="AM417" s="571"/>
    </row>
    <row r="418" spans="1:55">
      <c r="A418" s="537"/>
      <c r="C418" s="732"/>
      <c r="E418" s="692"/>
      <c r="F418" s="1976"/>
      <c r="G418" s="1976"/>
      <c r="H418" s="1976"/>
      <c r="I418" s="1976"/>
      <c r="J418" s="1976"/>
      <c r="K418" s="1976"/>
      <c r="L418" s="1976"/>
      <c r="M418" s="1976"/>
      <c r="N418" s="1976"/>
      <c r="O418" s="1976"/>
      <c r="P418" s="1976"/>
      <c r="Q418" s="1976"/>
      <c r="R418" s="1976"/>
      <c r="S418" s="1976"/>
      <c r="T418" s="1976"/>
      <c r="U418" s="1976"/>
      <c r="V418" s="1976"/>
      <c r="W418" s="1976"/>
      <c r="X418" s="1976"/>
      <c r="Y418" s="1976"/>
      <c r="Z418" s="1976"/>
      <c r="AA418" s="1976"/>
      <c r="AB418" s="1976"/>
      <c r="AC418" s="1976"/>
      <c r="AD418" s="1976"/>
      <c r="AE418" s="1976"/>
      <c r="AF418" s="540"/>
      <c r="AG418" s="537"/>
      <c r="AH418" s="551"/>
      <c r="AI418" s="551"/>
      <c r="AJ418" s="551"/>
      <c r="AK418" s="551"/>
      <c r="AL418" s="733"/>
      <c r="AM418" s="571"/>
    </row>
    <row r="419" spans="1:55" s="551" customFormat="1" ht="12.75" customHeight="1">
      <c r="A419" s="537"/>
      <c r="B419" s="14"/>
      <c r="C419" s="732"/>
      <c r="D419" s="14"/>
      <c r="E419" s="692"/>
      <c r="F419" s="1976"/>
      <c r="G419" s="1976"/>
      <c r="H419" s="1976"/>
      <c r="I419" s="1976"/>
      <c r="J419" s="1976"/>
      <c r="K419" s="1976"/>
      <c r="L419" s="1976"/>
      <c r="M419" s="1976"/>
      <c r="N419" s="1976"/>
      <c r="O419" s="1976"/>
      <c r="P419" s="1976"/>
      <c r="Q419" s="1976"/>
      <c r="R419" s="1976"/>
      <c r="S419" s="1976"/>
      <c r="T419" s="1976"/>
      <c r="U419" s="1976"/>
      <c r="V419" s="1976"/>
      <c r="W419" s="1976"/>
      <c r="X419" s="1976"/>
      <c r="Y419" s="1976"/>
      <c r="Z419" s="1976"/>
      <c r="AA419" s="1976"/>
      <c r="AB419" s="1976"/>
      <c r="AC419" s="1976"/>
      <c r="AD419" s="1976"/>
      <c r="AE419" s="1976"/>
      <c r="AL419" s="733"/>
      <c r="AM419" s="571"/>
      <c r="AN419" s="598"/>
    </row>
    <row r="420" spans="1:55" s="551" customFormat="1" ht="12.75" customHeight="1">
      <c r="A420" s="537"/>
      <c r="B420" s="14"/>
      <c r="C420" s="740"/>
      <c r="F420" s="1976"/>
      <c r="G420" s="1976"/>
      <c r="H420" s="1976"/>
      <c r="I420" s="1976"/>
      <c r="J420" s="1976"/>
      <c r="K420" s="1976"/>
      <c r="L420" s="1976"/>
      <c r="M420" s="1976"/>
      <c r="N420" s="1976"/>
      <c r="O420" s="1976"/>
      <c r="P420" s="1976"/>
      <c r="Q420" s="1976"/>
      <c r="R420" s="1976"/>
      <c r="S420" s="1976"/>
      <c r="T420" s="1976"/>
      <c r="U420" s="1976"/>
      <c r="V420" s="1976"/>
      <c r="W420" s="1976"/>
      <c r="X420" s="1976"/>
      <c r="Y420" s="1976"/>
      <c r="Z420" s="1976"/>
      <c r="AA420" s="1976"/>
      <c r="AB420" s="1976"/>
      <c r="AC420" s="1976"/>
      <c r="AD420" s="1976"/>
      <c r="AE420" s="1976"/>
      <c r="AL420" s="733"/>
      <c r="AM420" s="571"/>
      <c r="AN420" s="598"/>
    </row>
    <row r="421" spans="1:55" s="551" customFormat="1" ht="12.75" customHeight="1">
      <c r="A421" s="537"/>
      <c r="B421" s="14"/>
      <c r="C421" s="1985" t="s">
        <v>591</v>
      </c>
      <c r="D421" s="1986"/>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065" t="s">
        <v>1462</v>
      </c>
      <c r="AG421" s="2065"/>
      <c r="AH421" s="2065"/>
      <c r="AI421" s="2065"/>
      <c r="AJ421" s="2065"/>
      <c r="AK421" s="2065"/>
      <c r="AL421" s="2074"/>
      <c r="AM421" s="571"/>
      <c r="AN421" s="598"/>
    </row>
    <row r="422" spans="1:55" s="551" customFormat="1" ht="12.75" customHeight="1">
      <c r="A422" s="537"/>
      <c r="B422" s="14"/>
      <c r="C422" s="740"/>
      <c r="AL422" s="733"/>
      <c r="AM422" s="571"/>
      <c r="AN422" s="598"/>
    </row>
    <row r="423" spans="1:55" s="551" customFormat="1" ht="12.75" customHeight="1">
      <c r="A423" s="537"/>
      <c r="B423" s="14"/>
      <c r="C423" s="1985" t="s">
        <v>591</v>
      </c>
      <c r="D423" s="1986"/>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065" t="s">
        <v>1474</v>
      </c>
      <c r="AG423" s="2065"/>
      <c r="AH423" s="2065"/>
      <c r="AI423" s="2065"/>
      <c r="AJ423" s="2065"/>
      <c r="AK423" s="2065"/>
      <c r="AL423" s="2074"/>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1975" t="s">
        <v>1482</v>
      </c>
      <c r="G427" s="1975"/>
      <c r="H427" s="1975"/>
      <c r="I427" s="1975"/>
      <c r="J427" s="1975"/>
      <c r="K427" s="1975"/>
      <c r="L427" s="1975"/>
      <c r="M427" s="1975"/>
      <c r="N427" s="1975"/>
      <c r="O427" s="1975"/>
      <c r="P427" s="1975"/>
      <c r="Q427" s="1975"/>
      <c r="R427" s="1975"/>
      <c r="S427" s="1975"/>
      <c r="T427" s="1975"/>
      <c r="U427" s="1975"/>
      <c r="V427" s="1975"/>
      <c r="W427" s="1975"/>
      <c r="X427" s="1975"/>
      <c r="Y427" s="1975"/>
      <c r="Z427" s="1975"/>
      <c r="AA427" s="1975"/>
      <c r="AB427" s="1975"/>
      <c r="AC427" s="1975"/>
      <c r="AD427" s="1975"/>
      <c r="AE427" s="1975"/>
      <c r="AF427" s="715"/>
      <c r="AG427" s="715"/>
      <c r="AH427" s="715"/>
      <c r="AI427" s="715"/>
      <c r="AJ427" s="715"/>
      <c r="AK427" s="715"/>
      <c r="AL427" s="746"/>
      <c r="AM427" s="571"/>
      <c r="AN427" s="598"/>
    </row>
    <row r="428" spans="1:55" s="551" customFormat="1" ht="12.75" customHeight="1">
      <c r="A428" s="537"/>
      <c r="B428" s="14"/>
      <c r="C428" s="732"/>
      <c r="D428" s="14"/>
      <c r="E428" s="692"/>
      <c r="F428" s="1976"/>
      <c r="G428" s="1976"/>
      <c r="H428" s="1976"/>
      <c r="I428" s="1976"/>
      <c r="J428" s="1976"/>
      <c r="K428" s="1976"/>
      <c r="L428" s="1976"/>
      <c r="M428" s="1976"/>
      <c r="N428" s="1976"/>
      <c r="O428" s="1976"/>
      <c r="P428" s="1976"/>
      <c r="Q428" s="1976"/>
      <c r="R428" s="1976"/>
      <c r="S428" s="1976"/>
      <c r="T428" s="1976"/>
      <c r="U428" s="1976"/>
      <c r="V428" s="1976"/>
      <c r="W428" s="1976"/>
      <c r="X428" s="1976"/>
      <c r="Y428" s="1976"/>
      <c r="Z428" s="1976"/>
      <c r="AA428" s="1976"/>
      <c r="AB428" s="1976"/>
      <c r="AC428" s="1976"/>
      <c r="AD428" s="1976"/>
      <c r="AE428" s="1976"/>
      <c r="AF428" s="540"/>
      <c r="AG428" s="537"/>
      <c r="AL428" s="733"/>
      <c r="AM428" s="571"/>
      <c r="AN428" s="598"/>
    </row>
    <row r="429" spans="1:55" s="551" customFormat="1" ht="12.45" customHeight="1">
      <c r="A429" s="537"/>
      <c r="B429" s="14"/>
      <c r="C429" s="732"/>
      <c r="D429" s="14"/>
      <c r="E429" s="692"/>
      <c r="F429" s="1976"/>
      <c r="G429" s="1976"/>
      <c r="H429" s="1976"/>
      <c r="I429" s="1976"/>
      <c r="J429" s="1976"/>
      <c r="K429" s="1976"/>
      <c r="L429" s="1976"/>
      <c r="M429" s="1976"/>
      <c r="N429" s="1976"/>
      <c r="O429" s="1976"/>
      <c r="P429" s="1976"/>
      <c r="Q429" s="1976"/>
      <c r="R429" s="1976"/>
      <c r="S429" s="1976"/>
      <c r="T429" s="1976"/>
      <c r="U429" s="1976"/>
      <c r="V429" s="1976"/>
      <c r="W429" s="1976"/>
      <c r="X429" s="1976"/>
      <c r="Y429" s="1976"/>
      <c r="Z429" s="1976"/>
      <c r="AA429" s="1976"/>
      <c r="AB429" s="1976"/>
      <c r="AC429" s="1976"/>
      <c r="AD429" s="1976"/>
      <c r="AE429" s="1976"/>
      <c r="AL429" s="733"/>
      <c r="AM429" s="571"/>
      <c r="AN429" s="598"/>
    </row>
    <row r="430" spans="1:55" s="551" customFormat="1" ht="12.75" customHeight="1">
      <c r="A430" s="537"/>
      <c r="B430" s="14"/>
      <c r="C430" s="1985" t="s">
        <v>591</v>
      </c>
      <c r="D430" s="1986"/>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065" t="s">
        <v>1462</v>
      </c>
      <c r="AG430" s="2065"/>
      <c r="AH430" s="2065"/>
      <c r="AI430" s="2065"/>
      <c r="AJ430" s="2065"/>
      <c r="AK430" s="2065"/>
      <c r="AL430" s="2074"/>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1484</v>
      </c>
      <c r="F433" s="1975" t="s">
        <v>1485</v>
      </c>
      <c r="G433" s="1975"/>
      <c r="H433" s="1975"/>
      <c r="I433" s="1975"/>
      <c r="J433" s="1975"/>
      <c r="K433" s="1975"/>
      <c r="L433" s="1975"/>
      <c r="M433" s="1975"/>
      <c r="N433" s="1975"/>
      <c r="O433" s="1975"/>
      <c r="P433" s="1975"/>
      <c r="Q433" s="1975"/>
      <c r="R433" s="1975"/>
      <c r="S433" s="1975"/>
      <c r="T433" s="1975"/>
      <c r="U433" s="1975"/>
      <c r="V433" s="1975"/>
      <c r="W433" s="1975"/>
      <c r="X433" s="1975"/>
      <c r="Y433" s="1975"/>
      <c r="Z433" s="1975"/>
      <c r="AA433" s="1975"/>
      <c r="AB433" s="1975"/>
      <c r="AC433" s="1975"/>
      <c r="AD433" s="1975"/>
      <c r="AE433" s="1975"/>
      <c r="AF433" s="748"/>
      <c r="AG433" s="748"/>
      <c r="AH433" s="748"/>
      <c r="AI433" s="748"/>
      <c r="AJ433" s="748"/>
      <c r="AK433" s="748"/>
      <c r="AL433" s="749"/>
      <c r="AM433" s="571"/>
      <c r="AO433" s="551"/>
      <c r="AP433" s="551"/>
      <c r="BD433" s="14"/>
      <c r="BE433" s="14"/>
      <c r="BF433" s="14"/>
      <c r="BG433" s="14"/>
      <c r="BH433" s="14"/>
    </row>
    <row r="434" spans="1:60">
      <c r="A434" s="537"/>
      <c r="C434" s="732"/>
      <c r="E434" s="692"/>
      <c r="F434" s="1976"/>
      <c r="G434" s="1976"/>
      <c r="H434" s="1976"/>
      <c r="I434" s="1976"/>
      <c r="J434" s="1976"/>
      <c r="K434" s="1976"/>
      <c r="L434" s="1976"/>
      <c r="M434" s="1976"/>
      <c r="N434" s="1976"/>
      <c r="O434" s="1976"/>
      <c r="P434" s="1976"/>
      <c r="Q434" s="1976"/>
      <c r="R434" s="1976"/>
      <c r="S434" s="1976"/>
      <c r="T434" s="1976"/>
      <c r="U434" s="1976"/>
      <c r="V434" s="1976"/>
      <c r="W434" s="1976"/>
      <c r="X434" s="1976"/>
      <c r="Y434" s="1976"/>
      <c r="Z434" s="1976"/>
      <c r="AA434" s="1976"/>
      <c r="AB434" s="1976"/>
      <c r="AC434" s="1976"/>
      <c r="AD434" s="1976"/>
      <c r="AE434" s="1976"/>
      <c r="AF434" s="595"/>
      <c r="AG434" s="595"/>
      <c r="AH434" s="595"/>
      <c r="AI434" s="595"/>
      <c r="AJ434" s="595"/>
      <c r="AK434" s="595"/>
      <c r="AL434" s="751"/>
      <c r="AM434" s="571"/>
      <c r="AO434" s="551"/>
      <c r="AP434" s="551"/>
    </row>
    <row r="435" spans="1:60" s="551" customFormat="1" ht="12.75" customHeight="1">
      <c r="A435" s="537"/>
      <c r="B435" s="14"/>
      <c r="C435" s="732"/>
      <c r="D435" s="14"/>
      <c r="E435" s="692"/>
      <c r="F435" s="1976"/>
      <c r="G435" s="1976"/>
      <c r="H435" s="1976"/>
      <c r="I435" s="1976"/>
      <c r="J435" s="1976"/>
      <c r="K435" s="1976"/>
      <c r="L435" s="1976"/>
      <c r="M435" s="1976"/>
      <c r="N435" s="1976"/>
      <c r="O435" s="1976"/>
      <c r="P435" s="1976"/>
      <c r="Q435" s="1976"/>
      <c r="R435" s="1976"/>
      <c r="S435" s="1976"/>
      <c r="T435" s="1976"/>
      <c r="U435" s="1976"/>
      <c r="V435" s="1976"/>
      <c r="W435" s="1976"/>
      <c r="X435" s="1976"/>
      <c r="Y435" s="1976"/>
      <c r="Z435" s="1976"/>
      <c r="AA435" s="1976"/>
      <c r="AB435" s="1976"/>
      <c r="AC435" s="1976"/>
      <c r="AD435" s="1976"/>
      <c r="AE435" s="1976"/>
      <c r="AF435" s="595"/>
      <c r="AG435" s="595"/>
      <c r="AH435" s="595"/>
      <c r="AI435" s="595"/>
      <c r="AJ435" s="595"/>
      <c r="AK435" s="595"/>
      <c r="AL435" s="751"/>
      <c r="AM435" s="571"/>
      <c r="AN435" s="598"/>
    </row>
    <row r="436" spans="1:60" s="551" customFormat="1" ht="12.75" customHeight="1">
      <c r="A436" s="537"/>
      <c r="B436" s="14"/>
      <c r="C436" s="752"/>
      <c r="D436" s="731"/>
      <c r="E436" s="720"/>
      <c r="F436" s="1976"/>
      <c r="G436" s="1976"/>
      <c r="H436" s="1976"/>
      <c r="I436" s="1976"/>
      <c r="J436" s="1976"/>
      <c r="K436" s="1976"/>
      <c r="L436" s="1976"/>
      <c r="M436" s="1976"/>
      <c r="N436" s="1976"/>
      <c r="O436" s="1976"/>
      <c r="P436" s="1976"/>
      <c r="Q436" s="1976"/>
      <c r="R436" s="1976"/>
      <c r="S436" s="1976"/>
      <c r="T436" s="1976"/>
      <c r="U436" s="1976"/>
      <c r="V436" s="1976"/>
      <c r="W436" s="1976"/>
      <c r="X436" s="1976"/>
      <c r="Y436" s="1976"/>
      <c r="Z436" s="1976"/>
      <c r="AA436" s="1976"/>
      <c r="AB436" s="1976"/>
      <c r="AC436" s="1976"/>
      <c r="AD436" s="1976"/>
      <c r="AE436" s="1976"/>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1976"/>
      <c r="G437" s="1976"/>
      <c r="H437" s="1976"/>
      <c r="I437" s="1976"/>
      <c r="J437" s="1976"/>
      <c r="K437" s="1976"/>
      <c r="L437" s="1976"/>
      <c r="M437" s="1976"/>
      <c r="N437" s="1976"/>
      <c r="O437" s="1976"/>
      <c r="P437" s="1976"/>
      <c r="Q437" s="1976"/>
      <c r="R437" s="1976"/>
      <c r="S437" s="1976"/>
      <c r="T437" s="1976"/>
      <c r="U437" s="1976"/>
      <c r="V437" s="1976"/>
      <c r="W437" s="1976"/>
      <c r="X437" s="1976"/>
      <c r="Y437" s="1976"/>
      <c r="Z437" s="1976"/>
      <c r="AA437" s="1976"/>
      <c r="AB437" s="1976"/>
      <c r="AC437" s="1976"/>
      <c r="AD437" s="1976"/>
      <c r="AE437" s="1976"/>
      <c r="AF437" s="595"/>
      <c r="AG437" s="595"/>
      <c r="AH437" s="595"/>
      <c r="AI437" s="595"/>
      <c r="AJ437" s="595"/>
      <c r="AK437" s="595"/>
      <c r="AL437" s="751"/>
      <c r="AM437" s="571"/>
      <c r="AN437" s="598"/>
    </row>
    <row r="438" spans="1:60" s="551" customFormat="1" ht="12.75" customHeight="1">
      <c r="A438" s="537"/>
      <c r="B438" s="14"/>
      <c r="C438" s="752"/>
      <c r="D438" s="731"/>
      <c r="E438" s="720"/>
      <c r="F438" s="1976"/>
      <c r="G438" s="1976"/>
      <c r="H438" s="1976"/>
      <c r="I438" s="1976"/>
      <c r="J438" s="1976"/>
      <c r="K438" s="1976"/>
      <c r="L438" s="1976"/>
      <c r="M438" s="1976"/>
      <c r="N438" s="1976"/>
      <c r="O438" s="1976"/>
      <c r="P438" s="1976"/>
      <c r="Q438" s="1976"/>
      <c r="R438" s="1976"/>
      <c r="S438" s="1976"/>
      <c r="T438" s="1976"/>
      <c r="U438" s="1976"/>
      <c r="V438" s="1976"/>
      <c r="W438" s="1976"/>
      <c r="X438" s="1976"/>
      <c r="Y438" s="1976"/>
      <c r="Z438" s="1976"/>
      <c r="AA438" s="1976"/>
      <c r="AB438" s="1976"/>
      <c r="AC438" s="1976"/>
      <c r="AD438" s="1976"/>
      <c r="AE438" s="1976"/>
      <c r="AF438" s="595"/>
      <c r="AG438" s="595"/>
      <c r="AH438" s="595"/>
      <c r="AI438" s="595"/>
      <c r="AJ438" s="595"/>
      <c r="AK438" s="595"/>
      <c r="AL438" s="751"/>
      <c r="AM438" s="571"/>
      <c r="AN438" s="598"/>
    </row>
    <row r="439" spans="1:60" s="551" customFormat="1" ht="12.75" customHeight="1">
      <c r="A439" s="537"/>
      <c r="B439" s="14"/>
      <c r="C439" s="752"/>
      <c r="D439" s="731"/>
      <c r="E439" s="720"/>
      <c r="F439" s="1976"/>
      <c r="G439" s="1976"/>
      <c r="H439" s="1976"/>
      <c r="I439" s="1976"/>
      <c r="J439" s="1976"/>
      <c r="K439" s="1976"/>
      <c r="L439" s="1976"/>
      <c r="M439" s="1976"/>
      <c r="N439" s="1976"/>
      <c r="O439" s="1976"/>
      <c r="P439" s="1976"/>
      <c r="Q439" s="1976"/>
      <c r="R439" s="1976"/>
      <c r="S439" s="1976"/>
      <c r="T439" s="1976"/>
      <c r="U439" s="1976"/>
      <c r="V439" s="1976"/>
      <c r="W439" s="1976"/>
      <c r="X439" s="1976"/>
      <c r="Y439" s="1976"/>
      <c r="Z439" s="1976"/>
      <c r="AA439" s="1976"/>
      <c r="AB439" s="1976"/>
      <c r="AC439" s="1976"/>
      <c r="AD439" s="1976"/>
      <c r="AE439" s="1976"/>
      <c r="AF439" s="595"/>
      <c r="AG439" s="595"/>
      <c r="AH439" s="595"/>
      <c r="AI439" s="595"/>
      <c r="AJ439" s="595"/>
      <c r="AK439" s="595"/>
      <c r="AL439" s="751"/>
      <c r="AM439" s="571"/>
      <c r="AN439" s="598"/>
    </row>
    <row r="440" spans="1:60" s="551" customFormat="1" ht="12.75" customHeight="1">
      <c r="A440" s="537"/>
      <c r="B440" s="14"/>
      <c r="C440" s="752"/>
      <c r="D440" s="731"/>
      <c r="E440" s="720"/>
      <c r="F440" s="1976"/>
      <c r="G440" s="1976"/>
      <c r="H440" s="1976"/>
      <c r="I440" s="1976"/>
      <c r="J440" s="1976"/>
      <c r="K440" s="1976"/>
      <c r="L440" s="1976"/>
      <c r="M440" s="1976"/>
      <c r="N440" s="1976"/>
      <c r="O440" s="1976"/>
      <c r="P440" s="1976"/>
      <c r="Q440" s="1976"/>
      <c r="R440" s="1976"/>
      <c r="S440" s="1976"/>
      <c r="T440" s="1976"/>
      <c r="U440" s="1976"/>
      <c r="V440" s="1976"/>
      <c r="W440" s="1976"/>
      <c r="X440" s="1976"/>
      <c r="Y440" s="1976"/>
      <c r="Z440" s="1976"/>
      <c r="AA440" s="1976"/>
      <c r="AB440" s="1976"/>
      <c r="AC440" s="1976"/>
      <c r="AD440" s="1976"/>
      <c r="AE440" s="1976"/>
      <c r="AF440" s="595"/>
      <c r="AG440" s="595"/>
      <c r="AH440" s="595"/>
      <c r="AI440" s="595"/>
      <c r="AJ440" s="595"/>
      <c r="AK440" s="595"/>
      <c r="AL440" s="751"/>
      <c r="AM440" s="571"/>
      <c r="AN440" s="598"/>
    </row>
    <row r="441" spans="1:60" s="551" customFormat="1" ht="17.25" customHeight="1">
      <c r="A441" s="537"/>
      <c r="B441" s="14"/>
      <c r="C441" s="752"/>
      <c r="D441" s="731"/>
      <c r="E441" s="720"/>
      <c r="F441" s="1976"/>
      <c r="G441" s="1976"/>
      <c r="H441" s="1976"/>
      <c r="I441" s="1976"/>
      <c r="J441" s="1976"/>
      <c r="K441" s="1976"/>
      <c r="L441" s="1976"/>
      <c r="M441" s="1976"/>
      <c r="N441" s="1976"/>
      <c r="O441" s="1976"/>
      <c r="P441" s="1976"/>
      <c r="Q441" s="1976"/>
      <c r="R441" s="1976"/>
      <c r="S441" s="1976"/>
      <c r="T441" s="1976"/>
      <c r="U441" s="1976"/>
      <c r="V441" s="1976"/>
      <c r="W441" s="1976"/>
      <c r="X441" s="1976"/>
      <c r="Y441" s="1976"/>
      <c r="Z441" s="1976"/>
      <c r="AA441" s="1976"/>
      <c r="AB441" s="1976"/>
      <c r="AC441" s="1976"/>
      <c r="AD441" s="1976"/>
      <c r="AE441" s="1976"/>
      <c r="AL441" s="733"/>
      <c r="AM441" s="571"/>
      <c r="AN441" s="598"/>
    </row>
    <row r="442" spans="1:60" s="551" customFormat="1" ht="12.75" customHeight="1">
      <c r="A442" s="537"/>
      <c r="B442" s="14"/>
      <c r="C442" s="1985" t="s">
        <v>591</v>
      </c>
      <c r="D442" s="1986"/>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065" t="s">
        <v>1462</v>
      </c>
      <c r="AG442" s="2065"/>
      <c r="AH442" s="2065"/>
      <c r="AI442" s="2065"/>
      <c r="AJ442" s="2065"/>
      <c r="AK442" s="2065"/>
      <c r="AL442" s="2074"/>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1975" t="s">
        <v>1488</v>
      </c>
      <c r="G445" s="1975"/>
      <c r="H445" s="1975"/>
      <c r="I445" s="1975"/>
      <c r="J445" s="1975"/>
      <c r="K445" s="1975"/>
      <c r="L445" s="1975"/>
      <c r="M445" s="1975"/>
      <c r="N445" s="1975"/>
      <c r="O445" s="1975"/>
      <c r="P445" s="1975"/>
      <c r="Q445" s="1975"/>
      <c r="R445" s="1975"/>
      <c r="S445" s="1975"/>
      <c r="T445" s="1975"/>
      <c r="U445" s="1975"/>
      <c r="V445" s="1975"/>
      <c r="W445" s="1975"/>
      <c r="X445" s="1975"/>
      <c r="Y445" s="1975"/>
      <c r="Z445" s="1975"/>
      <c r="AA445" s="1975"/>
      <c r="AB445" s="1975"/>
      <c r="AC445" s="1975"/>
      <c r="AD445" s="1975"/>
      <c r="AE445" s="1975"/>
      <c r="AF445" s="715"/>
      <c r="AG445" s="715"/>
      <c r="AH445" s="715"/>
      <c r="AI445" s="715"/>
      <c r="AJ445" s="715"/>
      <c r="AK445" s="715"/>
      <c r="AL445" s="746"/>
      <c r="AM445" s="571"/>
      <c r="AN445" s="598"/>
    </row>
    <row r="446" spans="1:60" s="551" customFormat="1" ht="12.75" customHeight="1">
      <c r="A446" s="537"/>
      <c r="B446" s="14"/>
      <c r="C446" s="752"/>
      <c r="D446" s="731"/>
      <c r="E446" s="720"/>
      <c r="F446" s="1976"/>
      <c r="G446" s="1976"/>
      <c r="H446" s="1976"/>
      <c r="I446" s="1976"/>
      <c r="J446" s="1976"/>
      <c r="K446" s="1976"/>
      <c r="L446" s="1976"/>
      <c r="M446" s="1976"/>
      <c r="N446" s="1976"/>
      <c r="O446" s="1976"/>
      <c r="P446" s="1976"/>
      <c r="Q446" s="1976"/>
      <c r="R446" s="1976"/>
      <c r="S446" s="1976"/>
      <c r="T446" s="1976"/>
      <c r="U446" s="1976"/>
      <c r="V446" s="1976"/>
      <c r="W446" s="1976"/>
      <c r="X446" s="1976"/>
      <c r="Y446" s="1976"/>
      <c r="Z446" s="1976"/>
      <c r="AA446" s="1976"/>
      <c r="AB446" s="1976"/>
      <c r="AC446" s="1976"/>
      <c r="AD446" s="1976"/>
      <c r="AE446" s="1976"/>
      <c r="AF446" s="592"/>
      <c r="AG446" s="592"/>
      <c r="AH446" s="592"/>
      <c r="AI446" s="592"/>
      <c r="AJ446" s="592"/>
      <c r="AK446" s="592"/>
      <c r="AL446" s="721"/>
      <c r="AM446" s="571"/>
      <c r="AN446" s="598"/>
    </row>
    <row r="447" spans="1:60" s="551" customFormat="1" ht="12.75" customHeight="1">
      <c r="A447" s="537"/>
      <c r="B447" s="14"/>
      <c r="C447" s="752"/>
      <c r="D447" s="731"/>
      <c r="E447" s="720"/>
      <c r="F447" s="1976"/>
      <c r="G447" s="1976"/>
      <c r="H447" s="1976"/>
      <c r="I447" s="1976"/>
      <c r="J447" s="1976"/>
      <c r="K447" s="1976"/>
      <c r="L447" s="1976"/>
      <c r="M447" s="1976"/>
      <c r="N447" s="1976"/>
      <c r="O447" s="1976"/>
      <c r="P447" s="1976"/>
      <c r="Q447" s="1976"/>
      <c r="R447" s="1976"/>
      <c r="S447" s="1976"/>
      <c r="T447" s="1976"/>
      <c r="U447" s="1976"/>
      <c r="V447" s="1976"/>
      <c r="W447" s="1976"/>
      <c r="X447" s="1976"/>
      <c r="Y447" s="1976"/>
      <c r="Z447" s="1976"/>
      <c r="AA447" s="1976"/>
      <c r="AB447" s="1976"/>
      <c r="AC447" s="1976"/>
      <c r="AD447" s="1976"/>
      <c r="AE447" s="1976"/>
      <c r="AF447" s="592"/>
      <c r="AG447" s="592"/>
      <c r="AH447" s="592"/>
      <c r="AI447" s="592"/>
      <c r="AJ447" s="592"/>
      <c r="AK447" s="592"/>
      <c r="AL447" s="721"/>
      <c r="AM447" s="571"/>
      <c r="AN447" s="598"/>
    </row>
    <row r="448" spans="1:60" s="551" customFormat="1" ht="12.75" customHeight="1">
      <c r="A448" s="537"/>
      <c r="B448" s="14"/>
      <c r="C448" s="752"/>
      <c r="D448" s="731"/>
      <c r="E448" s="720"/>
      <c r="F448" s="1976"/>
      <c r="G448" s="1976"/>
      <c r="H448" s="1976"/>
      <c r="I448" s="1976"/>
      <c r="J448" s="1976"/>
      <c r="K448" s="1976"/>
      <c r="L448" s="1976"/>
      <c r="M448" s="1976"/>
      <c r="N448" s="1976"/>
      <c r="O448" s="1976"/>
      <c r="P448" s="1976"/>
      <c r="Q448" s="1976"/>
      <c r="R448" s="1976"/>
      <c r="S448" s="1976"/>
      <c r="T448" s="1976"/>
      <c r="U448" s="1976"/>
      <c r="V448" s="1976"/>
      <c r="W448" s="1976"/>
      <c r="X448" s="1976"/>
      <c r="Y448" s="1976"/>
      <c r="Z448" s="1976"/>
      <c r="AA448" s="1976"/>
      <c r="AB448" s="1976"/>
      <c r="AC448" s="1976"/>
      <c r="AD448" s="1976"/>
      <c r="AE448" s="1976"/>
      <c r="AL448" s="733"/>
      <c r="AM448" s="571"/>
      <c r="AN448" s="598"/>
    </row>
    <row r="449" spans="1:40" s="551" customFormat="1" ht="12.75" customHeight="1">
      <c r="A449" s="537"/>
      <c r="B449" s="14"/>
      <c r="C449" s="1985" t="s">
        <v>591</v>
      </c>
      <c r="D449" s="1986"/>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065" t="s">
        <v>1462</v>
      </c>
      <c r="AG449" s="2065"/>
      <c r="AH449" s="2065"/>
      <c r="AI449" s="2065"/>
      <c r="AJ449" s="2065"/>
      <c r="AK449" s="2065"/>
      <c r="AL449" s="2074"/>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101" t="s">
        <v>591</v>
      </c>
      <c r="D453" s="2102"/>
      <c r="E453" s="716" t="s">
        <v>1497</v>
      </c>
      <c r="F453" s="1975" t="s">
        <v>1498</v>
      </c>
      <c r="G453" s="1975"/>
      <c r="H453" s="1975"/>
      <c r="I453" s="1975"/>
      <c r="J453" s="1975"/>
      <c r="K453" s="1975"/>
      <c r="L453" s="1975"/>
      <c r="M453" s="1975"/>
      <c r="N453" s="1975"/>
      <c r="O453" s="1975"/>
      <c r="P453" s="1975"/>
      <c r="Q453" s="1975"/>
      <c r="R453" s="1975"/>
      <c r="S453" s="1975"/>
      <c r="T453" s="1975"/>
      <c r="U453" s="1975"/>
      <c r="V453" s="1975"/>
      <c r="W453" s="1975"/>
      <c r="X453" s="1975"/>
      <c r="Y453" s="1975"/>
      <c r="Z453" s="1975"/>
      <c r="AA453" s="1975"/>
      <c r="AB453" s="1975"/>
      <c r="AC453" s="1975"/>
      <c r="AD453" s="1975"/>
      <c r="AE453" s="1975"/>
      <c r="AF453" s="2003" t="s">
        <v>1462</v>
      </c>
      <c r="AG453" s="2003"/>
      <c r="AH453" s="2003"/>
      <c r="AI453" s="2003"/>
      <c r="AJ453" s="2003"/>
      <c r="AK453" s="2003"/>
      <c r="AL453" s="2004"/>
      <c r="AM453" s="571"/>
      <c r="AN453" s="754"/>
    </row>
    <row r="454" spans="1:40" s="551" customFormat="1" ht="12.75" customHeight="1">
      <c r="A454" s="537"/>
      <c r="B454" s="14"/>
      <c r="C454" s="752"/>
      <c r="D454" s="731"/>
      <c r="E454" s="720"/>
      <c r="F454" s="1976"/>
      <c r="G454" s="1976"/>
      <c r="H454" s="1976"/>
      <c r="I454" s="1976"/>
      <c r="J454" s="1976"/>
      <c r="K454" s="1976"/>
      <c r="L454" s="1976"/>
      <c r="M454" s="1976"/>
      <c r="N454" s="1976"/>
      <c r="O454" s="1976"/>
      <c r="P454" s="1976"/>
      <c r="Q454" s="1976"/>
      <c r="R454" s="1976"/>
      <c r="S454" s="1976"/>
      <c r="T454" s="1976"/>
      <c r="U454" s="1976"/>
      <c r="V454" s="1976"/>
      <c r="W454" s="1976"/>
      <c r="X454" s="1976"/>
      <c r="Y454" s="1976"/>
      <c r="Z454" s="1976"/>
      <c r="AA454" s="1976"/>
      <c r="AB454" s="1976"/>
      <c r="AC454" s="1976"/>
      <c r="AD454" s="1976"/>
      <c r="AE454" s="1976"/>
      <c r="AF454" s="592"/>
      <c r="AG454" s="592"/>
      <c r="AH454" s="592"/>
      <c r="AI454" s="592"/>
      <c r="AJ454" s="592"/>
      <c r="AK454" s="592"/>
      <c r="AL454" s="721"/>
      <c r="AM454" s="571"/>
      <c r="AN454" s="755"/>
    </row>
    <row r="455" spans="1:40" s="551" customFormat="1" ht="17.7" customHeight="1">
      <c r="A455" s="537"/>
      <c r="B455" s="14"/>
      <c r="C455" s="757"/>
      <c r="D455" s="724"/>
      <c r="E455" s="725"/>
      <c r="F455" s="1977"/>
      <c r="G455" s="1977"/>
      <c r="H455" s="1977"/>
      <c r="I455" s="1977"/>
      <c r="J455" s="1977"/>
      <c r="K455" s="1977"/>
      <c r="L455" s="1977"/>
      <c r="M455" s="1977"/>
      <c r="N455" s="1977"/>
      <c r="O455" s="1977"/>
      <c r="P455" s="1977"/>
      <c r="Q455" s="1977"/>
      <c r="R455" s="1977"/>
      <c r="S455" s="1977"/>
      <c r="T455" s="1977"/>
      <c r="U455" s="1977"/>
      <c r="V455" s="1977"/>
      <c r="W455" s="1977"/>
      <c r="X455" s="1977"/>
      <c r="Y455" s="1977"/>
      <c r="Z455" s="1977"/>
      <c r="AA455" s="1977"/>
      <c r="AB455" s="1977"/>
      <c r="AC455" s="1977"/>
      <c r="AD455" s="1977"/>
      <c r="AE455" s="1977"/>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1985" t="s">
        <v>591</v>
      </c>
      <c r="D457" s="1986"/>
      <c r="E457" s="716" t="s">
        <v>1503</v>
      </c>
      <c r="F457" s="1975" t="s">
        <v>1504</v>
      </c>
      <c r="G457" s="1975"/>
      <c r="H457" s="1975"/>
      <c r="I457" s="1975"/>
      <c r="J457" s="1975"/>
      <c r="K457" s="1975"/>
      <c r="L457" s="1975"/>
      <c r="M457" s="1975"/>
      <c r="N457" s="1975"/>
      <c r="O457" s="1975"/>
      <c r="P457" s="1975"/>
      <c r="Q457" s="1975"/>
      <c r="R457" s="1975"/>
      <c r="S457" s="1975"/>
      <c r="T457" s="1975"/>
      <c r="U457" s="1975"/>
      <c r="V457" s="1975"/>
      <c r="W457" s="1975"/>
      <c r="X457" s="1975"/>
      <c r="Y457" s="1975"/>
      <c r="Z457" s="1975"/>
      <c r="AA457" s="1975"/>
      <c r="AB457" s="1975"/>
      <c r="AC457" s="1975"/>
      <c r="AD457" s="1975"/>
      <c r="AE457" s="1975"/>
      <c r="AF457" s="2003" t="s">
        <v>1462</v>
      </c>
      <c r="AG457" s="2003"/>
      <c r="AH457" s="2003"/>
      <c r="AI457" s="2003"/>
      <c r="AJ457" s="2003"/>
      <c r="AK457" s="2003"/>
      <c r="AL457" s="2004"/>
      <c r="AM457" s="571"/>
      <c r="AN457" s="536"/>
    </row>
    <row r="458" spans="1:40" s="551" customFormat="1" ht="12.75" customHeight="1">
      <c r="A458" s="537"/>
      <c r="B458" s="14"/>
      <c r="C458" s="732"/>
      <c r="D458" s="14"/>
      <c r="E458" s="692"/>
      <c r="F458" s="1976"/>
      <c r="G458" s="1976"/>
      <c r="H458" s="1976"/>
      <c r="I458" s="1976"/>
      <c r="J458" s="1976"/>
      <c r="K458" s="1976"/>
      <c r="L458" s="1976"/>
      <c r="M458" s="1976"/>
      <c r="N458" s="1976"/>
      <c r="O458" s="1976"/>
      <c r="P458" s="1976"/>
      <c r="Q458" s="1976"/>
      <c r="R458" s="1976"/>
      <c r="S458" s="1976"/>
      <c r="T458" s="1976"/>
      <c r="U458" s="1976"/>
      <c r="V458" s="1976"/>
      <c r="W458" s="1976"/>
      <c r="X458" s="1976"/>
      <c r="Y458" s="1976"/>
      <c r="Z458" s="1976"/>
      <c r="AA458" s="1976"/>
      <c r="AB458" s="1976"/>
      <c r="AC458" s="1976"/>
      <c r="AD458" s="1976"/>
      <c r="AE458" s="1976"/>
      <c r="AF458" s="540"/>
      <c r="AG458" s="537"/>
      <c r="AL458" s="733"/>
      <c r="AM458" s="571"/>
      <c r="AN458" s="536"/>
    </row>
    <row r="459" spans="1:40" s="551" customFormat="1" ht="12.75" customHeight="1">
      <c r="A459" s="537"/>
      <c r="B459" s="14"/>
      <c r="C459" s="732"/>
      <c r="D459" s="14"/>
      <c r="E459" s="692"/>
      <c r="F459" s="1976"/>
      <c r="G459" s="1976"/>
      <c r="H459" s="1976"/>
      <c r="I459" s="1976"/>
      <c r="J459" s="1976"/>
      <c r="K459" s="1976"/>
      <c r="L459" s="1976"/>
      <c r="M459" s="1976"/>
      <c r="N459" s="1976"/>
      <c r="O459" s="1976"/>
      <c r="P459" s="1976"/>
      <c r="Q459" s="1976"/>
      <c r="R459" s="1976"/>
      <c r="S459" s="1976"/>
      <c r="T459" s="1976"/>
      <c r="U459" s="1976"/>
      <c r="V459" s="1976"/>
      <c r="W459" s="1976"/>
      <c r="X459" s="1976"/>
      <c r="Y459" s="1976"/>
      <c r="Z459" s="1976"/>
      <c r="AA459" s="1976"/>
      <c r="AB459" s="1976"/>
      <c r="AC459" s="1976"/>
      <c r="AD459" s="1976"/>
      <c r="AE459" s="1976"/>
      <c r="AF459" s="540"/>
      <c r="AG459" s="537"/>
      <c r="AL459" s="733"/>
      <c r="AM459" s="571"/>
      <c r="AN459" s="536"/>
    </row>
    <row r="460" spans="1:40" s="551" customFormat="1" ht="12.75" customHeight="1">
      <c r="A460" s="537"/>
      <c r="B460" s="14"/>
      <c r="C460" s="757"/>
      <c r="D460" s="724"/>
      <c r="E460" s="725"/>
      <c r="F460" s="1977"/>
      <c r="G460" s="1977"/>
      <c r="H460" s="1977"/>
      <c r="I460" s="1977"/>
      <c r="J460" s="1977"/>
      <c r="K460" s="1977"/>
      <c r="L460" s="1977"/>
      <c r="M460" s="1977"/>
      <c r="N460" s="1977"/>
      <c r="O460" s="1977"/>
      <c r="P460" s="1977"/>
      <c r="Q460" s="1977"/>
      <c r="R460" s="1977"/>
      <c r="S460" s="1977"/>
      <c r="T460" s="1977"/>
      <c r="U460" s="1977"/>
      <c r="V460" s="1977"/>
      <c r="W460" s="1977"/>
      <c r="X460" s="1977"/>
      <c r="Y460" s="1977"/>
      <c r="Z460" s="1977"/>
      <c r="AA460" s="1977"/>
      <c r="AB460" s="1977"/>
      <c r="AC460" s="1977"/>
      <c r="AD460" s="1977"/>
      <c r="AE460" s="1977"/>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1975" t="s">
        <v>1507</v>
      </c>
      <c r="G462" s="1975"/>
      <c r="H462" s="1975"/>
      <c r="I462" s="1975"/>
      <c r="J462" s="1975"/>
      <c r="K462" s="1975"/>
      <c r="L462" s="1975"/>
      <c r="M462" s="1975"/>
      <c r="N462" s="1975"/>
      <c r="O462" s="1975"/>
      <c r="P462" s="1975"/>
      <c r="Q462" s="1975"/>
      <c r="R462" s="1975"/>
      <c r="S462" s="1975"/>
      <c r="T462" s="1975"/>
      <c r="U462" s="1975"/>
      <c r="V462" s="1975"/>
      <c r="W462" s="1975"/>
      <c r="X462" s="1975"/>
      <c r="Y462" s="1975"/>
      <c r="Z462" s="1975"/>
      <c r="AA462" s="1975"/>
      <c r="AB462" s="1975"/>
      <c r="AC462" s="1975"/>
      <c r="AD462" s="1975"/>
      <c r="AE462" s="1975"/>
      <c r="AF462" s="1975"/>
      <c r="AG462" s="745"/>
      <c r="AH462" s="715"/>
      <c r="AI462" s="715"/>
      <c r="AJ462" s="715"/>
      <c r="AK462" s="715"/>
      <c r="AL462" s="746"/>
      <c r="AM462" s="571"/>
      <c r="AN462" s="598"/>
    </row>
    <row r="463" spans="1:40" s="551" customFormat="1" ht="12.75" customHeight="1">
      <c r="A463" s="537"/>
      <c r="B463" s="14"/>
      <c r="C463" s="732"/>
      <c r="D463" s="14"/>
      <c r="E463" s="692"/>
      <c r="F463" s="1976"/>
      <c r="G463" s="1976"/>
      <c r="H463" s="1976"/>
      <c r="I463" s="1976"/>
      <c r="J463" s="1976"/>
      <c r="K463" s="1976"/>
      <c r="L463" s="1976"/>
      <c r="M463" s="1976"/>
      <c r="N463" s="1976"/>
      <c r="O463" s="1976"/>
      <c r="P463" s="1976"/>
      <c r="Q463" s="1976"/>
      <c r="R463" s="1976"/>
      <c r="S463" s="1976"/>
      <c r="T463" s="1976"/>
      <c r="U463" s="1976"/>
      <c r="V463" s="1976"/>
      <c r="W463" s="1976"/>
      <c r="X463" s="1976"/>
      <c r="Y463" s="1976"/>
      <c r="Z463" s="1976"/>
      <c r="AA463" s="1976"/>
      <c r="AB463" s="1976"/>
      <c r="AC463" s="1976"/>
      <c r="AD463" s="1976"/>
      <c r="AE463" s="1976"/>
      <c r="AF463" s="1976"/>
      <c r="AL463" s="733"/>
      <c r="AM463" s="571"/>
      <c r="AN463" s="598"/>
    </row>
    <row r="464" spans="1:40" s="551" customFormat="1" ht="12.75" customHeight="1">
      <c r="A464" s="537"/>
      <c r="B464" s="14"/>
      <c r="C464" s="740"/>
      <c r="F464" s="1976"/>
      <c r="G464" s="1976"/>
      <c r="H464" s="1976"/>
      <c r="I464" s="1976"/>
      <c r="J464" s="1976"/>
      <c r="K464" s="1976"/>
      <c r="L464" s="1976"/>
      <c r="M464" s="1976"/>
      <c r="N464" s="1976"/>
      <c r="O464" s="1976"/>
      <c r="P464" s="1976"/>
      <c r="Q464" s="1976"/>
      <c r="R464" s="1976"/>
      <c r="S464" s="1976"/>
      <c r="T464" s="1976"/>
      <c r="U464" s="1976"/>
      <c r="V464" s="1976"/>
      <c r="W464" s="1976"/>
      <c r="X464" s="1976"/>
      <c r="Y464" s="1976"/>
      <c r="Z464" s="1976"/>
      <c r="AA464" s="1976"/>
      <c r="AB464" s="1976"/>
      <c r="AC464" s="1976"/>
      <c r="AD464" s="1976"/>
      <c r="AE464" s="1976"/>
      <c r="AF464" s="1976"/>
      <c r="AL464" s="733"/>
      <c r="AM464" s="571"/>
      <c r="AN464" s="598"/>
    </row>
    <row r="465" spans="1:58" s="551" customFormat="1" ht="12.75" customHeight="1">
      <c r="A465" s="537"/>
      <c r="B465" s="14"/>
      <c r="C465" s="740"/>
      <c r="F465" s="1976"/>
      <c r="G465" s="1976"/>
      <c r="H465" s="1976"/>
      <c r="I465" s="1976"/>
      <c r="J465" s="1976"/>
      <c r="K465" s="1976"/>
      <c r="L465" s="1976"/>
      <c r="M465" s="1976"/>
      <c r="N465" s="1976"/>
      <c r="O465" s="1976"/>
      <c r="P465" s="1976"/>
      <c r="Q465" s="1976"/>
      <c r="R465" s="1976"/>
      <c r="S465" s="1976"/>
      <c r="T465" s="1976"/>
      <c r="U465" s="1976"/>
      <c r="V465" s="1976"/>
      <c r="W465" s="1976"/>
      <c r="X465" s="1976"/>
      <c r="Y465" s="1976"/>
      <c r="Z465" s="1976"/>
      <c r="AA465" s="1976"/>
      <c r="AB465" s="1976"/>
      <c r="AC465" s="1976"/>
      <c r="AD465" s="1976"/>
      <c r="AE465" s="1976"/>
      <c r="AF465" s="1976"/>
      <c r="AL465" s="733"/>
      <c r="AM465" s="571"/>
      <c r="AN465" s="598"/>
    </row>
    <row r="466" spans="1:58" s="551" customFormat="1" ht="12.75" customHeight="1">
      <c r="A466" s="537"/>
      <c r="B466" s="14"/>
      <c r="C466" s="1985" t="s">
        <v>591</v>
      </c>
      <c r="D466" s="1986"/>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1987" t="s">
        <v>1462</v>
      </c>
      <c r="AG466" s="1987"/>
      <c r="AH466" s="1987"/>
      <c r="AI466" s="1987"/>
      <c r="AJ466" s="1987"/>
      <c r="AK466" s="1987"/>
      <c r="AL466" s="1988"/>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1972">
        <f>IF(Application!D214="N/A",AS358,AS360)</f>
        <v>10</v>
      </c>
      <c r="AL469" s="1973"/>
      <c r="AM469" s="1974"/>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1987" t="s">
        <v>1511</v>
      </c>
      <c r="AF472" s="1987"/>
      <c r="AG472" s="1987"/>
      <c r="AH472" s="1987"/>
      <c r="AI472" s="1987"/>
      <c r="AJ472" s="1987"/>
      <c r="AK472" s="1987"/>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1994" t="s">
        <v>591</v>
      </c>
      <c r="D478" s="1995"/>
      <c r="E478" s="762" t="s">
        <v>507</v>
      </c>
      <c r="F478" s="2072" t="s">
        <v>1517</v>
      </c>
      <c r="G478" s="2072"/>
      <c r="H478" s="2072"/>
      <c r="I478" s="2072"/>
      <c r="J478" s="2072"/>
      <c r="K478" s="2072"/>
      <c r="L478" s="2072"/>
      <c r="M478" s="2072"/>
      <c r="N478" s="2072"/>
      <c r="O478" s="2072"/>
      <c r="P478" s="2072"/>
      <c r="Q478" s="2072"/>
      <c r="R478" s="2072"/>
      <c r="S478" s="2072"/>
      <c r="T478" s="2072"/>
      <c r="U478" s="2072"/>
      <c r="V478" s="2072"/>
      <c r="W478" s="2072"/>
      <c r="X478" s="2072"/>
      <c r="Y478" s="2072"/>
      <c r="Z478" s="2072"/>
      <c r="AA478" s="2072"/>
      <c r="AB478" s="2072"/>
      <c r="AC478" s="2072"/>
      <c r="AD478" s="2072"/>
      <c r="AE478" s="2072"/>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073"/>
      <c r="G479" s="2073"/>
      <c r="H479" s="2073"/>
      <c r="I479" s="2073"/>
      <c r="J479" s="2073"/>
      <c r="K479" s="2073"/>
      <c r="L479" s="2073"/>
      <c r="M479" s="2073"/>
      <c r="N479" s="2073"/>
      <c r="O479" s="2073"/>
      <c r="P479" s="2073"/>
      <c r="Q479" s="2073"/>
      <c r="R479" s="2073"/>
      <c r="S479" s="2073"/>
      <c r="T479" s="2073"/>
      <c r="U479" s="2073"/>
      <c r="V479" s="2073"/>
      <c r="W479" s="2073"/>
      <c r="X479" s="2073"/>
      <c r="Y479" s="2073"/>
      <c r="Z479" s="2073"/>
      <c r="AA479" s="2073"/>
      <c r="AB479" s="2073"/>
      <c r="AC479" s="2073"/>
      <c r="AD479" s="2073"/>
      <c r="AE479" s="2073"/>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000" t="s">
        <v>591</v>
      </c>
      <c r="G480" s="2000"/>
      <c r="H480" s="2000"/>
      <c r="I480" s="2000"/>
      <c r="J480" s="2000"/>
      <c r="K480" s="2000"/>
      <c r="L480" s="2000"/>
      <c r="M480" s="2000"/>
      <c r="N480" s="2000"/>
      <c r="O480" s="2000"/>
      <c r="P480" s="2000"/>
      <c r="Q480" s="2000"/>
      <c r="R480" s="2000"/>
      <c r="S480" s="2000"/>
      <c r="T480" s="2000"/>
      <c r="U480" s="2000"/>
      <c r="V480" s="2000"/>
      <c r="W480" s="2000"/>
      <c r="X480" s="2000"/>
      <c r="Y480" s="2000"/>
      <c r="Z480" s="2000"/>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001" t="s">
        <v>545</v>
      </c>
      <c r="D482" s="2002"/>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1980" t="s">
        <v>591</v>
      </c>
      <c r="W485" s="1980"/>
      <c r="X485" s="1980"/>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1980" t="s">
        <v>591</v>
      </c>
      <c r="W487" s="1980"/>
      <c r="X487" s="1980"/>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1980" t="s">
        <v>591</v>
      </c>
      <c r="W492" s="1980"/>
      <c r="X492" s="1980"/>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1999"/>
      <c r="E495" s="1999"/>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1980" t="s">
        <v>591</v>
      </c>
      <c r="W496" s="1980"/>
      <c r="X496" s="1980"/>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1980" t="s">
        <v>591</v>
      </c>
      <c r="W498" s="1980"/>
      <c r="X498" s="1980"/>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1994" t="s">
        <v>591</v>
      </c>
      <c r="D501" s="1995"/>
      <c r="E501" s="762" t="s">
        <v>507</v>
      </c>
      <c r="F501" s="2072" t="s">
        <v>1517</v>
      </c>
      <c r="G501" s="2072"/>
      <c r="H501" s="2072"/>
      <c r="I501" s="2072"/>
      <c r="J501" s="2072"/>
      <c r="K501" s="2072"/>
      <c r="L501" s="2072"/>
      <c r="M501" s="2072"/>
      <c r="N501" s="2072"/>
      <c r="O501" s="2072"/>
      <c r="P501" s="2072"/>
      <c r="Q501" s="2072"/>
      <c r="R501" s="2072"/>
      <c r="S501" s="2072"/>
      <c r="T501" s="2072"/>
      <c r="U501" s="2072"/>
      <c r="V501" s="2072"/>
      <c r="W501" s="2072"/>
      <c r="X501" s="2072"/>
      <c r="Y501" s="2072"/>
      <c r="Z501" s="2072"/>
      <c r="AA501" s="2072"/>
      <c r="AB501" s="2072"/>
      <c r="AC501" s="2072"/>
      <c r="AD501" s="2072"/>
      <c r="AE501" s="2072"/>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073"/>
      <c r="G502" s="2073"/>
      <c r="H502" s="2073"/>
      <c r="I502" s="2073"/>
      <c r="J502" s="2073"/>
      <c r="K502" s="2073"/>
      <c r="L502" s="2073"/>
      <c r="M502" s="2073"/>
      <c r="N502" s="2073"/>
      <c r="O502" s="2073"/>
      <c r="P502" s="2073"/>
      <c r="Q502" s="2073"/>
      <c r="R502" s="2073"/>
      <c r="S502" s="2073"/>
      <c r="T502" s="2073"/>
      <c r="U502" s="2073"/>
      <c r="V502" s="2073"/>
      <c r="W502" s="2073"/>
      <c r="X502" s="2073"/>
      <c r="Y502" s="2073"/>
      <c r="Z502" s="2073"/>
      <c r="AA502" s="2073"/>
      <c r="AB502" s="2073"/>
      <c r="AC502" s="2073"/>
      <c r="AD502" s="2073"/>
      <c r="AE502" s="2073"/>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1993" t="s">
        <v>591</v>
      </c>
      <c r="G503" s="1993"/>
      <c r="H503" s="1993"/>
      <c r="I503" s="1993"/>
      <c r="J503" s="1993"/>
      <c r="K503" s="1993"/>
      <c r="L503" s="1993"/>
      <c r="M503" s="1993"/>
      <c r="N503" s="1993"/>
      <c r="O503" s="1993"/>
      <c r="P503" s="1993"/>
      <c r="Q503" s="1993"/>
      <c r="R503" s="1993"/>
      <c r="S503" s="1993"/>
      <c r="T503" s="1993"/>
      <c r="U503" s="1993"/>
      <c r="V503" s="1993"/>
      <c r="W503" s="1993"/>
      <c r="X503" s="1993"/>
      <c r="Y503" s="1993"/>
      <c r="Z503" s="1993"/>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1994" t="s">
        <v>591</v>
      </c>
      <c r="D505" s="1995"/>
      <c r="E505" s="762" t="s">
        <v>757</v>
      </c>
      <c r="F505" s="1996" t="s">
        <v>1539</v>
      </c>
      <c r="G505" s="1996"/>
      <c r="H505" s="1996"/>
      <c r="I505" s="1996"/>
      <c r="J505" s="1996"/>
      <c r="K505" s="1996"/>
      <c r="L505" s="1996"/>
      <c r="M505" s="1996"/>
      <c r="N505" s="1996"/>
      <c r="O505" s="1996"/>
      <c r="P505" s="1996"/>
      <c r="Q505" s="1996"/>
      <c r="R505" s="1996"/>
      <c r="S505" s="1996"/>
      <c r="T505" s="1996"/>
      <c r="U505" s="1996"/>
      <c r="V505" s="1996"/>
      <c r="W505" s="1996"/>
      <c r="X505" s="1996"/>
      <c r="Y505" s="1996"/>
      <c r="Z505" s="1996"/>
      <c r="AA505" s="1996"/>
      <c r="AB505" s="1996"/>
      <c r="AC505" s="1996"/>
      <c r="AD505" s="1996"/>
      <c r="AE505" s="1996"/>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1997"/>
      <c r="G506" s="1997"/>
      <c r="H506" s="1997"/>
      <c r="I506" s="1997"/>
      <c r="J506" s="1997"/>
      <c r="K506" s="1997"/>
      <c r="L506" s="1997"/>
      <c r="M506" s="1997"/>
      <c r="N506" s="1997"/>
      <c r="O506" s="1997"/>
      <c r="P506" s="1997"/>
      <c r="Q506" s="1997"/>
      <c r="R506" s="1997"/>
      <c r="S506" s="1997"/>
      <c r="T506" s="1997"/>
      <c r="U506" s="1997"/>
      <c r="V506" s="1997"/>
      <c r="W506" s="1997"/>
      <c r="X506" s="1997"/>
      <c r="Y506" s="1997"/>
      <c r="Z506" s="1997"/>
      <c r="AA506" s="1997"/>
      <c r="AB506" s="1997"/>
      <c r="AC506" s="1997"/>
      <c r="AD506" s="1997"/>
      <c r="AE506" s="1997"/>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1998" t="s">
        <v>591</v>
      </c>
      <c r="G508" s="1998"/>
      <c r="H508" s="1998"/>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1994" t="s">
        <v>591</v>
      </c>
      <c r="D510" s="1995"/>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014"/>
      <c r="D512" s="1999"/>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015" t="s">
        <v>591</v>
      </c>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066" t="s">
        <v>591</v>
      </c>
      <c r="D515" s="2067"/>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066" t="s">
        <v>591</v>
      </c>
      <c r="D519" s="2067"/>
      <c r="F519" s="796" t="s">
        <v>1547</v>
      </c>
      <c r="G519" s="1976" t="s">
        <v>1548</v>
      </c>
      <c r="H519" s="1976"/>
      <c r="I519" s="1976"/>
      <c r="J519" s="1976"/>
      <c r="K519" s="1976"/>
      <c r="L519" s="1976"/>
      <c r="M519" s="1976"/>
      <c r="N519" s="1976"/>
      <c r="O519" s="1976"/>
      <c r="P519" s="1976"/>
      <c r="Q519" s="1976"/>
      <c r="R519" s="1976"/>
      <c r="S519" s="1976"/>
      <c r="T519" s="1976"/>
      <c r="U519" s="1976"/>
      <c r="V519" s="1976"/>
      <c r="W519" s="1976"/>
      <c r="X519" s="1976"/>
      <c r="Y519" s="1976"/>
      <c r="Z519" s="1976"/>
      <c r="AA519" s="1976"/>
      <c r="AB519" s="1976"/>
      <c r="AC519" s="1976"/>
      <c r="AD519" s="1976"/>
      <c r="AE519" s="1976"/>
      <c r="AF519" s="1976"/>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1977"/>
      <c r="H520" s="1977"/>
      <c r="I520" s="1977"/>
      <c r="J520" s="1977"/>
      <c r="K520" s="1977"/>
      <c r="L520" s="1977"/>
      <c r="M520" s="1977"/>
      <c r="N520" s="1977"/>
      <c r="O520" s="1977"/>
      <c r="P520" s="1977"/>
      <c r="Q520" s="1977"/>
      <c r="R520" s="1977"/>
      <c r="S520" s="1977"/>
      <c r="T520" s="1977"/>
      <c r="U520" s="1977"/>
      <c r="V520" s="1977"/>
      <c r="W520" s="1977"/>
      <c r="X520" s="1977"/>
      <c r="Y520" s="1977"/>
      <c r="Z520" s="1977"/>
      <c r="AA520" s="1977"/>
      <c r="AB520" s="1977"/>
      <c r="AC520" s="1977"/>
      <c r="AD520" s="1977"/>
      <c r="AE520" s="1977"/>
      <c r="AF520" s="1977"/>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068" t="s">
        <v>591</v>
      </c>
      <c r="D523" s="2069"/>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070" t="s">
        <v>591</v>
      </c>
      <c r="G524" s="2070"/>
      <c r="H524" s="2070"/>
      <c r="I524" s="2070"/>
      <c r="J524" s="2070"/>
      <c r="K524" s="2070"/>
      <c r="L524" s="2070"/>
      <c r="M524" s="2070"/>
      <c r="N524" s="2070"/>
      <c r="O524" s="2070"/>
      <c r="P524" s="2070"/>
      <c r="Q524" s="2070"/>
      <c r="R524" s="2070"/>
      <c r="S524" s="2070"/>
      <c r="T524" s="2070"/>
      <c r="U524" s="2070"/>
      <c r="V524" s="2070"/>
      <c r="W524" s="2070"/>
      <c r="X524" s="2070"/>
      <c r="Y524" s="2070"/>
      <c r="Z524" s="2070"/>
      <c r="AA524" s="2070"/>
      <c r="AB524" s="2070"/>
      <c r="AC524" s="2070"/>
      <c r="AD524" s="2070"/>
      <c r="AE524" s="2070"/>
      <c r="AF524" s="2070"/>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071"/>
      <c r="G525" s="2071"/>
      <c r="H525" s="2071"/>
      <c r="I525" s="2071"/>
      <c r="J525" s="2071"/>
      <c r="K525" s="2071"/>
      <c r="L525" s="2071"/>
      <c r="M525" s="2071"/>
      <c r="N525" s="2071"/>
      <c r="O525" s="2071"/>
      <c r="P525" s="2071"/>
      <c r="Q525" s="2071"/>
      <c r="R525" s="2071"/>
      <c r="S525" s="2071"/>
      <c r="T525" s="2071"/>
      <c r="U525" s="2071"/>
      <c r="V525" s="2071"/>
      <c r="W525" s="2071"/>
      <c r="X525" s="2071"/>
      <c r="Y525" s="2071"/>
      <c r="Z525" s="2071"/>
      <c r="AA525" s="2071"/>
      <c r="AB525" s="2071"/>
      <c r="AC525" s="2071"/>
      <c r="AD525" s="2071"/>
      <c r="AE525" s="2071"/>
      <c r="AF525" s="2071"/>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1972">
        <f>SUM(AG479:AG524)</f>
        <v>0</v>
      </c>
      <c r="AL535" s="1973"/>
      <c r="AM535" s="1974"/>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005" t="s">
        <v>1560</v>
      </c>
      <c r="AF538" s="2005"/>
      <c r="AG538" s="2005"/>
      <c r="AH538" s="2005"/>
      <c r="AI538" s="2005"/>
      <c r="AJ538" s="2005"/>
      <c r="AK538" s="2005"/>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1986" t="s">
        <v>545</v>
      </c>
      <c r="D541" s="1986"/>
      <c r="E541" s="552"/>
      <c r="F541" s="2008" t="s">
        <v>1561</v>
      </c>
      <c r="G541" s="2009"/>
      <c r="H541" s="2009"/>
      <c r="I541" s="2009"/>
      <c r="J541" s="2009"/>
      <c r="K541" s="2009"/>
      <c r="L541" s="2009"/>
      <c r="M541" s="2009"/>
      <c r="N541" s="2009"/>
      <c r="O541" s="2009"/>
      <c r="P541" s="2009"/>
      <c r="Q541" s="2009"/>
      <c r="R541" s="2009"/>
      <c r="S541" s="2009"/>
      <c r="T541" s="2009"/>
      <c r="U541" s="2009"/>
      <c r="V541" s="2009"/>
      <c r="W541" s="2009"/>
      <c r="X541" s="2009"/>
      <c r="Y541" s="2009"/>
      <c r="Z541" s="2009"/>
      <c r="AA541" s="2009"/>
      <c r="AB541" s="2009"/>
      <c r="AC541" s="2009"/>
      <c r="AD541" s="2009"/>
      <c r="AE541" s="2009"/>
      <c r="AF541" s="2009"/>
      <c r="AG541" s="2009"/>
      <c r="AH541" s="2009"/>
      <c r="AI541" s="2009"/>
      <c r="AJ541" s="2009"/>
      <c r="AK541" s="2009"/>
      <c r="AL541" s="2010"/>
      <c r="AM541" s="596"/>
      <c r="AN541" s="598"/>
    </row>
    <row r="542" spans="1:81" s="551" customFormat="1" ht="12.75" customHeight="1">
      <c r="A542" s="540"/>
      <c r="B542" s="540"/>
      <c r="C542" s="552"/>
      <c r="D542" s="552"/>
      <c r="E542" s="552"/>
      <c r="F542" s="2011"/>
      <c r="G542" s="2012"/>
      <c r="H542" s="2012"/>
      <c r="I542" s="2012"/>
      <c r="J542" s="2012"/>
      <c r="K542" s="2012"/>
      <c r="L542" s="2012"/>
      <c r="M542" s="2012"/>
      <c r="N542" s="2012"/>
      <c r="O542" s="2012"/>
      <c r="P542" s="2012"/>
      <c r="Q542" s="2012"/>
      <c r="R542" s="2012"/>
      <c r="S542" s="2012"/>
      <c r="T542" s="2012"/>
      <c r="U542" s="2012"/>
      <c r="V542" s="2012"/>
      <c r="W542" s="2012"/>
      <c r="X542" s="2012"/>
      <c r="Y542" s="2012"/>
      <c r="Z542" s="2012"/>
      <c r="AA542" s="2012"/>
      <c r="AB542" s="2012"/>
      <c r="AC542" s="2012"/>
      <c r="AD542" s="2012"/>
      <c r="AE542" s="2012"/>
      <c r="AF542" s="2012"/>
      <c r="AG542" s="2012"/>
      <c r="AH542" s="2012"/>
      <c r="AI542" s="2012"/>
      <c r="AJ542" s="2012"/>
      <c r="AK542" s="2012"/>
      <c r="AL542" s="2013"/>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1986" t="s">
        <v>591</v>
      </c>
      <c r="D544" s="1986"/>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1964" t="s">
        <v>1563</v>
      </c>
      <c r="G545" s="1965"/>
      <c r="H545" s="1965"/>
      <c r="I545" s="1965"/>
      <c r="J545" s="1965"/>
      <c r="K545" s="1965"/>
      <c r="L545" s="1965"/>
      <c r="M545" s="1965"/>
      <c r="N545" s="1965"/>
      <c r="O545" s="1965"/>
      <c r="P545" s="1965"/>
      <c r="Q545" s="1965"/>
      <c r="R545" s="1965"/>
      <c r="S545" s="1965"/>
      <c r="T545" s="1965"/>
      <c r="U545" s="1965"/>
      <c r="V545" s="1965"/>
      <c r="W545" s="1965"/>
      <c r="X545" s="1965"/>
      <c r="Y545" s="1965"/>
      <c r="Z545" s="1965"/>
      <c r="AA545" s="1965"/>
      <c r="AB545" s="1965"/>
      <c r="AC545" s="1965"/>
      <c r="AD545" s="1965"/>
      <c r="AE545" s="1965"/>
      <c r="AF545" s="1965"/>
      <c r="AG545" s="1965"/>
      <c r="AH545" s="1965"/>
      <c r="AI545" s="1965"/>
      <c r="AJ545" s="1965"/>
      <c r="AK545" s="1965"/>
      <c r="AL545" s="1966"/>
      <c r="AM545" s="596"/>
      <c r="AN545" s="598"/>
      <c r="AS545" s="871"/>
      <c r="AT545" s="871"/>
      <c r="AU545" s="871"/>
      <c r="AV545" s="871"/>
      <c r="AW545" s="871"/>
    </row>
    <row r="546" spans="1:49" s="551" customFormat="1" ht="12.75" customHeight="1">
      <c r="B546" s="807"/>
      <c r="C546" s="807"/>
      <c r="D546" s="807"/>
      <c r="E546" s="807"/>
      <c r="F546" s="1964"/>
      <c r="G546" s="1965"/>
      <c r="H546" s="1965"/>
      <c r="I546" s="1965"/>
      <c r="J546" s="1965"/>
      <c r="K546" s="1965"/>
      <c r="L546" s="1965"/>
      <c r="M546" s="1965"/>
      <c r="N546" s="1965"/>
      <c r="O546" s="1965"/>
      <c r="P546" s="1965"/>
      <c r="Q546" s="1965"/>
      <c r="R546" s="1965"/>
      <c r="S546" s="1965"/>
      <c r="T546" s="1965"/>
      <c r="U546" s="1965"/>
      <c r="V546" s="1965"/>
      <c r="W546" s="1965"/>
      <c r="X546" s="1965"/>
      <c r="Y546" s="1965"/>
      <c r="Z546" s="1965"/>
      <c r="AA546" s="1965"/>
      <c r="AB546" s="1965"/>
      <c r="AC546" s="1965"/>
      <c r="AD546" s="1965"/>
      <c r="AE546" s="1965"/>
      <c r="AF546" s="1965"/>
      <c r="AG546" s="1965"/>
      <c r="AH546" s="1965"/>
      <c r="AI546" s="1965"/>
      <c r="AJ546" s="1965"/>
      <c r="AK546" s="1965"/>
      <c r="AL546" s="1966"/>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1964" t="s">
        <v>1564</v>
      </c>
      <c r="G548" s="1965"/>
      <c r="H548" s="1965"/>
      <c r="I548" s="1965"/>
      <c r="J548" s="1965"/>
      <c r="K548" s="1965"/>
      <c r="L548" s="1965"/>
      <c r="M548" s="1965"/>
      <c r="N548" s="1965"/>
      <c r="O548" s="1965"/>
      <c r="P548" s="1965"/>
      <c r="Q548" s="1965"/>
      <c r="R548" s="1965"/>
      <c r="S548" s="1965"/>
      <c r="T548" s="1965"/>
      <c r="U548" s="1965"/>
      <c r="V548" s="1965"/>
      <c r="W548" s="1965"/>
      <c r="X548" s="1965"/>
      <c r="Y548" s="1965"/>
      <c r="Z548" s="1965"/>
      <c r="AA548" s="1965"/>
      <c r="AB548" s="1965"/>
      <c r="AC548" s="1965"/>
      <c r="AD548" s="1965"/>
      <c r="AE548" s="1965"/>
      <c r="AF548" s="1965"/>
      <c r="AG548" s="1965"/>
      <c r="AH548" s="1965"/>
      <c r="AI548" s="1965"/>
      <c r="AJ548" s="1965"/>
      <c r="AK548" s="1965"/>
      <c r="AL548" s="814"/>
      <c r="AM548" s="596"/>
      <c r="AN548" s="598"/>
    </row>
    <row r="549" spans="1:49" s="551" customFormat="1" ht="12.75" customHeight="1">
      <c r="B549" s="807"/>
      <c r="C549" s="807"/>
      <c r="D549" s="807"/>
      <c r="E549" s="807"/>
      <c r="F549" s="1967"/>
      <c r="G549" s="1968"/>
      <c r="H549" s="1968"/>
      <c r="I549" s="1968"/>
      <c r="J549" s="1968"/>
      <c r="K549" s="1968"/>
      <c r="L549" s="1968"/>
      <c r="M549" s="1968"/>
      <c r="N549" s="1968"/>
      <c r="O549" s="1968"/>
      <c r="P549" s="1968"/>
      <c r="Q549" s="1968"/>
      <c r="R549" s="1968"/>
      <c r="S549" s="1968"/>
      <c r="T549" s="1968"/>
      <c r="U549" s="1968"/>
      <c r="V549" s="1968"/>
      <c r="W549" s="1968"/>
      <c r="X549" s="1968"/>
      <c r="Y549" s="1968"/>
      <c r="Z549" s="1968"/>
      <c r="AA549" s="1968"/>
      <c r="AB549" s="1968"/>
      <c r="AC549" s="1968"/>
      <c r="AD549" s="1968"/>
      <c r="AE549" s="1968"/>
      <c r="AF549" s="1968"/>
      <c r="AG549" s="1968"/>
      <c r="AH549" s="1968"/>
      <c r="AI549" s="1968"/>
      <c r="AJ549" s="1968"/>
      <c r="AK549" s="1968"/>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1963">
        <f>Application!AJ992</f>
        <v>32404585</v>
      </c>
      <c r="AQ550" s="1963"/>
      <c r="AR550" s="1963"/>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1969">
        <f>'Sources and Uses Budget'!S107+'Sources and Uses Budget'!T107</f>
        <v>34358173.5</v>
      </c>
      <c r="AG551" s="1969"/>
      <c r="AH551" s="1969"/>
      <c r="AI551" s="1969"/>
      <c r="AJ551" s="1969"/>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1970">
        <f>IFERROR(AP559,0)</f>
        <v>68049629</v>
      </c>
      <c r="AG552" s="1970"/>
      <c r="AH552" s="1970"/>
      <c r="AI552" s="1970"/>
      <c r="AJ552" s="1970"/>
      <c r="AK552" s="596"/>
      <c r="AL552" s="596"/>
      <c r="AM552" s="596"/>
      <c r="AN552" s="598"/>
      <c r="AP552" s="1963">
        <f>Application!AJ1045</f>
        <v>22035117.800000001</v>
      </c>
      <c r="AQ552" s="1963"/>
      <c r="AR552" s="1963"/>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1971">
        <f>IFERROR(ROUNDDOWN(IF(C544="YES",((1-(AF551/AF552))*2),(1-(AF551/AF552))),2),0)</f>
        <v>0.49</v>
      </c>
      <c r="AG553" s="1971"/>
      <c r="AH553" s="1971"/>
      <c r="AI553" s="1971"/>
      <c r="AJ553" s="1971"/>
      <c r="AK553" s="596"/>
      <c r="AL553" s="596"/>
      <c r="AM553" s="596"/>
      <c r="AN553" s="598"/>
      <c r="AP553" s="1959">
        <f>Application!AJ1049</f>
        <v>9721375.5</v>
      </c>
      <c r="AQ553" s="1959"/>
      <c r="AR553" s="1959"/>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1978">
        <f>IF(((AP552+AP553)/AP550)&gt;0.8,0.8,((AP552+AP553)/AP550))</f>
        <v>0.8</v>
      </c>
      <c r="AQ554" s="1978"/>
      <c r="AR554" s="1978"/>
      <c r="AS554" s="551" t="s">
        <v>2173</v>
      </c>
    </row>
    <row r="555" spans="1:49" s="551" customFormat="1" ht="12.75" customHeight="1">
      <c r="A555" s="625"/>
      <c r="B555" s="2045" t="s">
        <v>2033</v>
      </c>
      <c r="C555" s="2046"/>
      <c r="D555" s="2046"/>
      <c r="E555" s="2046"/>
      <c r="F555" s="2046"/>
      <c r="G555" s="2046"/>
      <c r="H555" s="2046"/>
      <c r="I555" s="2046"/>
      <c r="J555" s="2046"/>
      <c r="K555" s="2046"/>
      <c r="L555" s="2046"/>
      <c r="M555" s="2046"/>
      <c r="N555" s="2046"/>
      <c r="O555" s="2046"/>
      <c r="P555" s="2046"/>
      <c r="Q555" s="2046"/>
      <c r="R555" s="2046"/>
      <c r="S555" s="2046"/>
      <c r="T555" s="2046"/>
      <c r="U555" s="2046"/>
      <c r="V555" s="2046"/>
      <c r="W555" s="2046"/>
      <c r="X555" s="2046"/>
      <c r="Y555" s="2046"/>
      <c r="Z555" s="2046"/>
      <c r="AA555" s="2046"/>
      <c r="AB555" s="2046"/>
      <c r="AC555" s="2046"/>
      <c r="AD555" s="2046"/>
      <c r="AE555" s="2046"/>
      <c r="AF555" s="2046"/>
      <c r="AG555" s="2046"/>
      <c r="AH555" s="2046"/>
      <c r="AI555" s="2046"/>
      <c r="AJ555" s="2047"/>
      <c r="AK555" s="596"/>
      <c r="AL555" s="596"/>
      <c r="AM555" s="596"/>
      <c r="AN555" s="598"/>
    </row>
    <row r="556" spans="1:49" s="551" customFormat="1" ht="12.75" customHeight="1">
      <c r="A556" s="625"/>
      <c r="B556" s="2048"/>
      <c r="C556" s="2049"/>
      <c r="D556" s="2049"/>
      <c r="E556" s="2049"/>
      <c r="F556" s="2049"/>
      <c r="G556" s="2049"/>
      <c r="H556" s="2049"/>
      <c r="I556" s="2049"/>
      <c r="J556" s="2049"/>
      <c r="K556" s="2049"/>
      <c r="L556" s="2049"/>
      <c r="M556" s="2049"/>
      <c r="N556" s="2049"/>
      <c r="O556" s="2049"/>
      <c r="P556" s="2049"/>
      <c r="Q556" s="2049"/>
      <c r="R556" s="2049"/>
      <c r="S556" s="2049"/>
      <c r="T556" s="2049"/>
      <c r="U556" s="2049"/>
      <c r="V556" s="2049"/>
      <c r="W556" s="2049"/>
      <c r="X556" s="2049"/>
      <c r="Y556" s="2049"/>
      <c r="Z556" s="2049"/>
      <c r="AA556" s="2049"/>
      <c r="AB556" s="2049"/>
      <c r="AC556" s="2049"/>
      <c r="AD556" s="2049"/>
      <c r="AE556" s="2049"/>
      <c r="AF556" s="2049"/>
      <c r="AG556" s="2049"/>
      <c r="AH556" s="2049"/>
      <c r="AI556" s="2049"/>
      <c r="AJ556" s="2050"/>
      <c r="AK556" s="596"/>
      <c r="AL556" s="596"/>
      <c r="AM556" s="596"/>
      <c r="AN556" s="598"/>
      <c r="AP556" s="1963">
        <f>AP557-AP552-AP553</f>
        <v>42125961</v>
      </c>
      <c r="AQ556" s="1979"/>
      <c r="AR556" s="1979"/>
      <c r="AS556" s="551" t="s">
        <v>2175</v>
      </c>
    </row>
    <row r="557" spans="1:49" s="551" customFormat="1" ht="12.75" customHeight="1">
      <c r="A557" s="625"/>
      <c r="B557" s="2051"/>
      <c r="C557" s="2052"/>
      <c r="D557" s="2052"/>
      <c r="E557" s="2052"/>
      <c r="F557" s="2052"/>
      <c r="G557" s="2052"/>
      <c r="H557" s="2052"/>
      <c r="I557" s="2052"/>
      <c r="J557" s="2052"/>
      <c r="K557" s="2052"/>
      <c r="L557" s="2052"/>
      <c r="M557" s="2052"/>
      <c r="N557" s="2052"/>
      <c r="O557" s="2052"/>
      <c r="P557" s="2052"/>
      <c r="Q557" s="2052"/>
      <c r="R557" s="2052"/>
      <c r="S557" s="2052"/>
      <c r="T557" s="2052"/>
      <c r="U557" s="2052"/>
      <c r="V557" s="2052"/>
      <c r="W557" s="2052"/>
      <c r="X557" s="2052"/>
      <c r="Y557" s="2052"/>
      <c r="Z557" s="2052"/>
      <c r="AA557" s="2052"/>
      <c r="AB557" s="2052"/>
      <c r="AC557" s="2052"/>
      <c r="AD557" s="2052"/>
      <c r="AE557" s="2052"/>
      <c r="AF557" s="2052"/>
      <c r="AG557" s="2052"/>
      <c r="AH557" s="2052"/>
      <c r="AI557" s="2052"/>
      <c r="AJ557" s="2053"/>
      <c r="AK557" s="596"/>
      <c r="AL557" s="596"/>
      <c r="AM557" s="596"/>
      <c r="AN557" s="598"/>
      <c r="AP557" s="1963">
        <f>Application!AJ1053</f>
        <v>73882454.299999997</v>
      </c>
      <c r="AQ557" s="1963"/>
      <c r="AR557" s="1963"/>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054">
        <f>IFERROR(IF(AND(C541="N/A",C544="N/A"),0,IF(AF553=0,0,IF((AF553*100)&gt;12,12,(AF553*100)))),0)</f>
        <v>12</v>
      </c>
      <c r="AL559" s="2054"/>
      <c r="AM559" s="2055"/>
      <c r="AN559" s="598"/>
      <c r="AP559" s="1948">
        <f>AP556+(AP550*AP554)</f>
        <v>68049629</v>
      </c>
      <c r="AQ559" s="1949"/>
      <c r="AR559" s="1950"/>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005" t="s">
        <v>1314</v>
      </c>
      <c r="AF562" s="2005"/>
      <c r="AG562" s="2005"/>
      <c r="AH562" s="2005"/>
      <c r="AI562" s="2005"/>
      <c r="AJ562" s="2005"/>
      <c r="AK562" s="2005"/>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1965" t="s">
        <v>2024</v>
      </c>
      <c r="C564" s="1965"/>
      <c r="D564" s="1965"/>
      <c r="E564" s="1965"/>
      <c r="F564" s="1965"/>
      <c r="G564" s="1965"/>
      <c r="H564" s="1965"/>
      <c r="I564" s="1965"/>
      <c r="J564" s="1965"/>
      <c r="K564" s="1965"/>
      <c r="L564" s="1965"/>
      <c r="M564" s="1965"/>
      <c r="N564" s="1965"/>
      <c r="O564" s="1965"/>
      <c r="P564" s="1965"/>
      <c r="Q564" s="1965"/>
      <c r="R564" s="1965"/>
      <c r="S564" s="1965"/>
      <c r="T564" s="1965"/>
      <c r="U564" s="1965"/>
      <c r="V564" s="1965"/>
      <c r="W564" s="1965"/>
      <c r="X564" s="1965"/>
      <c r="Y564" s="1965"/>
      <c r="Z564" s="1965"/>
      <c r="AA564" s="1965"/>
      <c r="AB564" s="1965"/>
      <c r="AC564" s="1965"/>
      <c r="AD564" s="1965"/>
      <c r="AE564" s="1965"/>
      <c r="AF564" s="1965"/>
      <c r="AG564" s="1965"/>
      <c r="AH564" s="1965"/>
      <c r="AI564" s="1965"/>
      <c r="AJ564" s="1965"/>
      <c r="AK564" s="643"/>
      <c r="AL564" s="574"/>
      <c r="AM564" s="604"/>
      <c r="AN564" s="598"/>
    </row>
    <row r="565" spans="1:42" s="551" customFormat="1" ht="12.75" customHeight="1">
      <c r="A565" s="604"/>
      <c r="B565" s="1965"/>
      <c r="C565" s="1965"/>
      <c r="D565" s="1965"/>
      <c r="E565" s="1965"/>
      <c r="F565" s="1965"/>
      <c r="G565" s="1965"/>
      <c r="H565" s="1965"/>
      <c r="I565" s="1965"/>
      <c r="J565" s="1965"/>
      <c r="K565" s="1965"/>
      <c r="L565" s="1965"/>
      <c r="M565" s="1965"/>
      <c r="N565" s="1965"/>
      <c r="O565" s="1965"/>
      <c r="P565" s="1965"/>
      <c r="Q565" s="1965"/>
      <c r="R565" s="1965"/>
      <c r="S565" s="1965"/>
      <c r="T565" s="1965"/>
      <c r="U565" s="1965"/>
      <c r="V565" s="1965"/>
      <c r="W565" s="1965"/>
      <c r="X565" s="1965"/>
      <c r="Y565" s="1965"/>
      <c r="Z565" s="1965"/>
      <c r="AA565" s="1965"/>
      <c r="AB565" s="1965"/>
      <c r="AC565" s="1965"/>
      <c r="AD565" s="1965"/>
      <c r="AE565" s="1965"/>
      <c r="AF565" s="1965"/>
      <c r="AG565" s="1965"/>
      <c r="AH565" s="1965"/>
      <c r="AI565" s="1965"/>
      <c r="AJ565" s="1965"/>
      <c r="AK565" s="643"/>
      <c r="AL565" s="574"/>
      <c r="AM565" s="604"/>
      <c r="AN565" s="598"/>
    </row>
    <row r="566" spans="1:42" s="551" customFormat="1" ht="12.75" customHeight="1">
      <c r="A566" s="604"/>
      <c r="B566" s="1965"/>
      <c r="C566" s="1965"/>
      <c r="D566" s="1965"/>
      <c r="E566" s="1965"/>
      <c r="F566" s="1965"/>
      <c r="G566" s="1965"/>
      <c r="H566" s="1965"/>
      <c r="I566" s="1965"/>
      <c r="J566" s="1965"/>
      <c r="K566" s="1965"/>
      <c r="L566" s="1965"/>
      <c r="M566" s="1965"/>
      <c r="N566" s="1965"/>
      <c r="O566" s="1965"/>
      <c r="P566" s="1965"/>
      <c r="Q566" s="1965"/>
      <c r="R566" s="1965"/>
      <c r="S566" s="1965"/>
      <c r="T566" s="1965"/>
      <c r="U566" s="1965"/>
      <c r="V566" s="1965"/>
      <c r="W566" s="1965"/>
      <c r="X566" s="1965"/>
      <c r="Y566" s="1965"/>
      <c r="Z566" s="1965"/>
      <c r="AA566" s="1965"/>
      <c r="AB566" s="1965"/>
      <c r="AC566" s="1965"/>
      <c r="AD566" s="1965"/>
      <c r="AE566" s="1965"/>
      <c r="AF566" s="1965"/>
      <c r="AG566" s="1965"/>
      <c r="AH566" s="1965"/>
      <c r="AI566" s="1965"/>
      <c r="AJ566" s="1965"/>
      <c r="AK566" s="643"/>
      <c r="AL566" s="574"/>
      <c r="AM566" s="604"/>
      <c r="AN566" s="598"/>
    </row>
    <row r="567" spans="1:42" s="551" customFormat="1" ht="12.75" customHeight="1">
      <c r="A567" s="604"/>
      <c r="B567" s="1965"/>
      <c r="C567" s="1965"/>
      <c r="D567" s="1965"/>
      <c r="E567" s="1965"/>
      <c r="F567" s="1965"/>
      <c r="G567" s="1965"/>
      <c r="H567" s="1965"/>
      <c r="I567" s="1965"/>
      <c r="J567" s="1965"/>
      <c r="K567" s="1965"/>
      <c r="L567" s="1965"/>
      <c r="M567" s="1965"/>
      <c r="N567" s="1965"/>
      <c r="O567" s="1965"/>
      <c r="P567" s="1965"/>
      <c r="Q567" s="1965"/>
      <c r="R567" s="1965"/>
      <c r="S567" s="1965"/>
      <c r="T567" s="1965"/>
      <c r="U567" s="1965"/>
      <c r="V567" s="1965"/>
      <c r="W567" s="1965"/>
      <c r="X567" s="1965"/>
      <c r="Y567" s="1965"/>
      <c r="Z567" s="1965"/>
      <c r="AA567" s="1965"/>
      <c r="AB567" s="1965"/>
      <c r="AC567" s="1965"/>
      <c r="AD567" s="1965"/>
      <c r="AE567" s="1965"/>
      <c r="AF567" s="1965"/>
      <c r="AG567" s="1965"/>
      <c r="AH567" s="1965"/>
      <c r="AI567" s="1965"/>
      <c r="AJ567" s="1965"/>
      <c r="AK567" s="643"/>
      <c r="AL567" s="574"/>
      <c r="AM567" s="604"/>
      <c r="AN567" s="598"/>
    </row>
    <row r="568" spans="1:42" s="551" customFormat="1" ht="12.75" customHeight="1">
      <c r="A568" s="604"/>
      <c r="B568" s="1965"/>
      <c r="C568" s="1965"/>
      <c r="D568" s="1965"/>
      <c r="E568" s="1965"/>
      <c r="F568" s="1965"/>
      <c r="G568" s="1965"/>
      <c r="H568" s="1965"/>
      <c r="I568" s="1965"/>
      <c r="J568" s="1965"/>
      <c r="K568" s="1965"/>
      <c r="L568" s="1965"/>
      <c r="M568" s="1965"/>
      <c r="N568" s="1965"/>
      <c r="O568" s="1965"/>
      <c r="P568" s="1965"/>
      <c r="Q568" s="1965"/>
      <c r="R568" s="1965"/>
      <c r="S568" s="1965"/>
      <c r="T568" s="1965"/>
      <c r="U568" s="1965"/>
      <c r="V568" s="1965"/>
      <c r="W568" s="1965"/>
      <c r="X568" s="1965"/>
      <c r="Y568" s="1965"/>
      <c r="Z568" s="1965"/>
      <c r="AA568" s="1965"/>
      <c r="AB568" s="1965"/>
      <c r="AC568" s="1965"/>
      <c r="AD568" s="1965"/>
      <c r="AE568" s="1965"/>
      <c r="AF568" s="1965"/>
      <c r="AG568" s="1965"/>
      <c r="AH568" s="1965"/>
      <c r="AI568" s="1965"/>
      <c r="AJ568" s="1965"/>
      <c r="AK568" s="643"/>
      <c r="AL568" s="574"/>
      <c r="AM568" s="604"/>
      <c r="AN568" s="598"/>
    </row>
    <row r="569" spans="1:42" s="551" customFormat="1" ht="12.75" customHeight="1">
      <c r="A569" s="604"/>
      <c r="B569" s="1965"/>
      <c r="C569" s="1965"/>
      <c r="D569" s="1965"/>
      <c r="E569" s="1965"/>
      <c r="F569" s="1965"/>
      <c r="G569" s="1965"/>
      <c r="H569" s="1965"/>
      <c r="I569" s="1965"/>
      <c r="J569" s="1965"/>
      <c r="K569" s="1965"/>
      <c r="L569" s="1965"/>
      <c r="M569" s="1965"/>
      <c r="N569" s="1965"/>
      <c r="O569" s="1965"/>
      <c r="P569" s="1965"/>
      <c r="Q569" s="1965"/>
      <c r="R569" s="1965"/>
      <c r="S569" s="1965"/>
      <c r="T569" s="1965"/>
      <c r="U569" s="1965"/>
      <c r="V569" s="1965"/>
      <c r="W569" s="1965"/>
      <c r="X569" s="1965"/>
      <c r="Y569" s="1965"/>
      <c r="Z569" s="1965"/>
      <c r="AA569" s="1965"/>
      <c r="AB569" s="1965"/>
      <c r="AC569" s="1965"/>
      <c r="AD569" s="1965"/>
      <c r="AE569" s="1965"/>
      <c r="AF569" s="1965"/>
      <c r="AG569" s="1965"/>
      <c r="AH569" s="1965"/>
      <c r="AI569" s="1965"/>
      <c r="AJ569" s="1965"/>
      <c r="AK569" s="643"/>
      <c r="AL569" s="574"/>
      <c r="AM569" s="604"/>
      <c r="AN569" s="598"/>
    </row>
    <row r="570" spans="1:42" s="551" customFormat="1" ht="12.75" customHeight="1">
      <c r="A570" s="604"/>
      <c r="B570" s="1965"/>
      <c r="C570" s="1965"/>
      <c r="D570" s="1965"/>
      <c r="E570" s="1965"/>
      <c r="F570" s="1965"/>
      <c r="G570" s="1965"/>
      <c r="H570" s="1965"/>
      <c r="I570" s="1965"/>
      <c r="J570" s="1965"/>
      <c r="K570" s="1965"/>
      <c r="L570" s="1965"/>
      <c r="M570" s="1965"/>
      <c r="N570" s="1965"/>
      <c r="O570" s="1965"/>
      <c r="P570" s="1965"/>
      <c r="Q570" s="1965"/>
      <c r="R570" s="1965"/>
      <c r="S570" s="1965"/>
      <c r="T570" s="1965"/>
      <c r="U570" s="1965"/>
      <c r="V570" s="1965"/>
      <c r="W570" s="1965"/>
      <c r="X570" s="1965"/>
      <c r="Y570" s="1965"/>
      <c r="Z570" s="1965"/>
      <c r="AA570" s="1965"/>
      <c r="AB570" s="1965"/>
      <c r="AC570" s="1965"/>
      <c r="AD570" s="1965"/>
      <c r="AE570" s="1965"/>
      <c r="AF570" s="1965"/>
      <c r="AG570" s="1965"/>
      <c r="AH570" s="1965"/>
      <c r="AI570" s="1965"/>
      <c r="AJ570" s="1965"/>
      <c r="AK570" s="643"/>
      <c r="AL570" s="574"/>
      <c r="AM570" s="604"/>
      <c r="AN570" s="598"/>
    </row>
    <row r="571" spans="1:42" ht="12.75" customHeight="1">
      <c r="A571" s="604"/>
      <c r="B571" s="1965"/>
      <c r="C571" s="1965"/>
      <c r="D571" s="1965"/>
      <c r="E571" s="1965"/>
      <c r="F571" s="1965"/>
      <c r="G571" s="1965"/>
      <c r="H571" s="1965"/>
      <c r="I571" s="1965"/>
      <c r="J571" s="1965"/>
      <c r="K571" s="1965"/>
      <c r="L571" s="1965"/>
      <c r="M571" s="1965"/>
      <c r="N571" s="1965"/>
      <c r="O571" s="1965"/>
      <c r="P571" s="1965"/>
      <c r="Q571" s="1965"/>
      <c r="R571" s="1965"/>
      <c r="S571" s="1965"/>
      <c r="T571" s="1965"/>
      <c r="U571" s="1965"/>
      <c r="V571" s="1965"/>
      <c r="W571" s="1965"/>
      <c r="X571" s="1965"/>
      <c r="Y571" s="1965"/>
      <c r="Z571" s="1965"/>
      <c r="AA571" s="1965"/>
      <c r="AB571" s="1965"/>
      <c r="AC571" s="1965"/>
      <c r="AD571" s="1965"/>
      <c r="AE571" s="1965"/>
      <c r="AF571" s="1965"/>
      <c r="AG571" s="1965"/>
      <c r="AH571" s="1965"/>
      <c r="AI571" s="1965"/>
      <c r="AJ571" s="1965"/>
      <c r="AK571" s="643"/>
      <c r="AL571" s="574"/>
      <c r="AM571" s="604"/>
    </row>
    <row r="572" spans="1:42" s="551" customFormat="1" ht="12.75" customHeight="1">
      <c r="B572" s="1965"/>
      <c r="C572" s="1965"/>
      <c r="D572" s="1965"/>
      <c r="E572" s="1965"/>
      <c r="F572" s="1965"/>
      <c r="G572" s="1965"/>
      <c r="H572" s="1965"/>
      <c r="I572" s="1965"/>
      <c r="J572" s="1965"/>
      <c r="K572" s="1965"/>
      <c r="L572" s="1965"/>
      <c r="M572" s="1965"/>
      <c r="N572" s="1965"/>
      <c r="O572" s="1965"/>
      <c r="P572" s="1965"/>
      <c r="Q572" s="1965"/>
      <c r="R572" s="1965"/>
      <c r="S572" s="1965"/>
      <c r="T572" s="1965"/>
      <c r="U572" s="1965"/>
      <c r="V572" s="1965"/>
      <c r="W572" s="1965"/>
      <c r="X572" s="1965"/>
      <c r="Y572" s="1965"/>
      <c r="Z572" s="1965"/>
      <c r="AA572" s="1965"/>
      <c r="AB572" s="1965"/>
      <c r="AC572" s="1965"/>
      <c r="AD572" s="1965"/>
      <c r="AE572" s="1965"/>
      <c r="AF572" s="1965"/>
      <c r="AG572" s="1965"/>
      <c r="AH572" s="1965"/>
      <c r="AI572" s="1965"/>
      <c r="AJ572" s="1965"/>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065" t="s">
        <v>1338</v>
      </c>
      <c r="AG578" s="2065"/>
      <c r="AH578" s="2065"/>
      <c r="AI578" s="2065"/>
      <c r="AJ578" s="2065"/>
      <c r="AK578" s="2065"/>
      <c r="AL578" s="2065"/>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065" t="s">
        <v>1396</v>
      </c>
      <c r="AG585" s="2065"/>
      <c r="AH585" s="2065"/>
      <c r="AI585" s="2065"/>
      <c r="AJ585" s="2065"/>
      <c r="AK585" s="2065"/>
      <c r="AL585" s="2065"/>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065" t="s">
        <v>1378</v>
      </c>
      <c r="AG591" s="2065"/>
      <c r="AH591" s="2065"/>
      <c r="AI591" s="2065"/>
      <c r="AJ591" s="2065"/>
      <c r="AK591" s="2065"/>
      <c r="AL591" s="2065"/>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065" t="s">
        <v>1399</v>
      </c>
      <c r="AG597" s="2065"/>
      <c r="AH597" s="2065"/>
      <c r="AI597" s="2065"/>
      <c r="AJ597" s="2065"/>
      <c r="AK597" s="2065"/>
      <c r="AL597" s="2065"/>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081" t="s">
        <v>1184</v>
      </c>
      <c r="P601" s="2081"/>
      <c r="Q601" s="2081"/>
      <c r="R601" s="2081"/>
      <c r="S601" s="2081"/>
      <c r="T601" s="2081"/>
      <c r="U601" s="2081"/>
      <c r="V601" s="2081"/>
      <c r="W601" s="2081"/>
      <c r="X601" s="2081"/>
      <c r="Y601" s="2081"/>
      <c r="Z601" s="2081"/>
      <c r="AA601" s="2081"/>
      <c r="AB601" s="2081"/>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065" t="s">
        <v>1352</v>
      </c>
      <c r="AG603" s="2065"/>
      <c r="AH603" s="2065"/>
      <c r="AI603" s="2065"/>
      <c r="AJ603" s="2065"/>
      <c r="AK603" s="2065"/>
      <c r="AL603" s="2065"/>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1989" t="s">
        <v>687</v>
      </c>
      <c r="I606" s="1989"/>
      <c r="J606" s="937"/>
      <c r="K606" s="937"/>
      <c r="L606" s="937"/>
      <c r="N606" s="22"/>
      <c r="O606" s="22"/>
      <c r="P606" s="22"/>
      <c r="Q606" s="1153" t="s">
        <v>2178</v>
      </c>
      <c r="R606" s="2082"/>
      <c r="S606" s="2082"/>
      <c r="T606" s="2082"/>
      <c r="U606" s="2082"/>
      <c r="V606" s="2082"/>
      <c r="W606" s="2082"/>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083" t="str">
        <f>IF(AND(H606="(i)",NOT(AP582)),AO599,IF(AND(H606="(iv)",OR(R606=AO595,R606=AO594),NOT(AP583)),AO600,""))</f>
        <v/>
      </c>
      <c r="Z607" s="2083"/>
      <c r="AA607" s="2083"/>
      <c r="AB607" s="2083"/>
      <c r="AC607" s="2083"/>
      <c r="AD607" s="2083"/>
      <c r="AE607" s="2083"/>
      <c r="AF607" s="2083"/>
      <c r="AG607" s="2083"/>
      <c r="AH607" s="2083"/>
      <c r="AI607" s="2083"/>
      <c r="AJ607" s="2083"/>
      <c r="AK607" s="2083"/>
      <c r="AL607" s="2083"/>
      <c r="AM607" s="2084"/>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083"/>
      <c r="Z608" s="2083"/>
      <c r="AA608" s="2083"/>
      <c r="AB608" s="2083"/>
      <c r="AC608" s="2083"/>
      <c r="AD608" s="2083"/>
      <c r="AE608" s="2083"/>
      <c r="AF608" s="2083"/>
      <c r="AG608" s="2083"/>
      <c r="AH608" s="2083"/>
      <c r="AI608" s="2083"/>
      <c r="AJ608" s="2083"/>
      <c r="AK608" s="2083"/>
      <c r="AL608" s="2083"/>
      <c r="AM608" s="2084"/>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080" t="s">
        <v>591</v>
      </c>
      <c r="J614" s="2080"/>
      <c r="K614" s="2080"/>
      <c r="L614" s="2080"/>
      <c r="M614" s="2080"/>
      <c r="N614" s="2080"/>
      <c r="O614" s="2080"/>
      <c r="P614" s="2080"/>
      <c r="Q614" s="2080"/>
      <c r="R614" s="2080"/>
      <c r="S614" s="2080"/>
      <c r="T614" s="2080"/>
      <c r="U614" s="2080"/>
      <c r="V614" s="2080"/>
      <c r="W614" s="2080"/>
      <c r="X614" s="2080"/>
      <c r="Y614" s="2080"/>
      <c r="Z614" s="2080"/>
      <c r="AA614" s="2080"/>
      <c r="AB614" s="2080"/>
      <c r="AC614" s="2080"/>
      <c r="AD614" s="2080"/>
      <c r="AE614" s="2080"/>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1937" t="s">
        <v>591</v>
      </c>
      <c r="C616" s="1937"/>
      <c r="D616" s="643"/>
      <c r="E616" s="1965" t="s">
        <v>1403</v>
      </c>
      <c r="F616" s="1965"/>
      <c r="G616" s="1965"/>
      <c r="H616" s="1965"/>
      <c r="I616" s="1965"/>
      <c r="J616" s="1965"/>
      <c r="K616" s="1965"/>
      <c r="L616" s="1965"/>
      <c r="M616" s="1965"/>
      <c r="N616" s="1965"/>
      <c r="O616" s="1965"/>
      <c r="P616" s="1965"/>
      <c r="Q616" s="1965"/>
      <c r="R616" s="1965"/>
      <c r="S616" s="1965"/>
      <c r="T616" s="1965"/>
      <c r="U616" s="1965"/>
      <c r="V616" s="1965"/>
      <c r="W616" s="1965"/>
      <c r="X616" s="1965"/>
      <c r="Y616" s="1965"/>
      <c r="Z616" s="1965"/>
      <c r="AA616" s="1965"/>
      <c r="AB616" s="1965"/>
      <c r="AC616" s="1965"/>
      <c r="AD616" s="1965"/>
      <c r="AE616" s="1965"/>
      <c r="AF616" s="1965"/>
      <c r="AG616" s="1965"/>
      <c r="AH616" s="643"/>
      <c r="AI616" s="643"/>
      <c r="AJ616" s="643"/>
      <c r="AK616" s="643"/>
      <c r="AL616" s="643"/>
      <c r="AN616" s="598"/>
    </row>
    <row r="617" spans="1:42" s="551" customFormat="1" ht="12.75" customHeight="1">
      <c r="B617" s="537"/>
      <c r="C617" s="934"/>
      <c r="D617" s="643"/>
      <c r="E617" s="1965"/>
      <c r="F617" s="1965"/>
      <c r="G617" s="1965"/>
      <c r="H617" s="1965"/>
      <c r="I617" s="1965"/>
      <c r="J617" s="1965"/>
      <c r="K617" s="1965"/>
      <c r="L617" s="1965"/>
      <c r="M617" s="1965"/>
      <c r="N617" s="1965"/>
      <c r="O617" s="1965"/>
      <c r="P617" s="1965"/>
      <c r="Q617" s="1965"/>
      <c r="R617" s="1965"/>
      <c r="S617" s="1965"/>
      <c r="T617" s="1965"/>
      <c r="U617" s="1965"/>
      <c r="V617" s="1965"/>
      <c r="W617" s="1965"/>
      <c r="X617" s="1965"/>
      <c r="Y617" s="1965"/>
      <c r="Z617" s="1965"/>
      <c r="AA617" s="1965"/>
      <c r="AB617" s="1965"/>
      <c r="AC617" s="1965"/>
      <c r="AD617" s="1965"/>
      <c r="AE617" s="1965"/>
      <c r="AF617" s="1965"/>
      <c r="AG617" s="1965"/>
      <c r="AH617" s="643"/>
      <c r="AI617" s="643"/>
      <c r="AJ617" s="643"/>
      <c r="AK617" s="643"/>
      <c r="AL617" s="643"/>
      <c r="AN617" s="598"/>
    </row>
    <row r="618" spans="1:42" s="551" customFormat="1" ht="12.75" customHeight="1">
      <c r="B618" s="537"/>
      <c r="C618" s="934"/>
      <c r="D618" s="643"/>
      <c r="E618" s="1965"/>
      <c r="F618" s="1965"/>
      <c r="G618" s="1965"/>
      <c r="H618" s="1965"/>
      <c r="I618" s="1965"/>
      <c r="J618" s="1965"/>
      <c r="K618" s="1965"/>
      <c r="L618" s="1965"/>
      <c r="M618" s="1965"/>
      <c r="N618" s="1965"/>
      <c r="O618" s="1965"/>
      <c r="P618" s="1965"/>
      <c r="Q618" s="1965"/>
      <c r="R618" s="1965"/>
      <c r="S618" s="1965"/>
      <c r="T618" s="1965"/>
      <c r="U618" s="1965"/>
      <c r="V618" s="1965"/>
      <c r="W618" s="1965"/>
      <c r="X618" s="1965"/>
      <c r="Y618" s="1965"/>
      <c r="Z618" s="1965"/>
      <c r="AA618" s="1965"/>
      <c r="AB618" s="1965"/>
      <c r="AC618" s="1965"/>
      <c r="AD618" s="1965"/>
      <c r="AE618" s="1965"/>
      <c r="AF618" s="1965"/>
      <c r="AG618" s="1965"/>
      <c r="AH618" s="643"/>
      <c r="AI618" s="643"/>
      <c r="AJ618" s="643"/>
      <c r="AK618" s="643"/>
      <c r="AL618" s="643"/>
      <c r="AN618" s="598"/>
    </row>
    <row r="619" spans="1:42" s="551" customFormat="1" ht="12.75" customHeight="1">
      <c r="B619" s="537"/>
      <c r="C619" s="934"/>
      <c r="D619" s="643"/>
      <c r="E619" s="1965"/>
      <c r="F619" s="1965"/>
      <c r="G619" s="1965"/>
      <c r="H619" s="1965"/>
      <c r="I619" s="1965"/>
      <c r="J619" s="1965"/>
      <c r="K619" s="1965"/>
      <c r="L619" s="1965"/>
      <c r="M619" s="1965"/>
      <c r="N619" s="1965"/>
      <c r="O619" s="1965"/>
      <c r="P619" s="1965"/>
      <c r="Q619" s="1965"/>
      <c r="R619" s="1965"/>
      <c r="S619" s="1965"/>
      <c r="T619" s="1965"/>
      <c r="U619" s="1965"/>
      <c r="V619" s="1965"/>
      <c r="W619" s="1965"/>
      <c r="X619" s="1965"/>
      <c r="Y619" s="1965"/>
      <c r="Z619" s="1965"/>
      <c r="AA619" s="1965"/>
      <c r="AB619" s="1965"/>
      <c r="AC619" s="1965"/>
      <c r="AD619" s="1965"/>
      <c r="AE619" s="1965"/>
      <c r="AF619" s="1965"/>
      <c r="AG619" s="1965"/>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1972">
        <f>VLOOKUP($H$606,$AO$586:$AP$591,2,FALSE)+IF(R606=AO594,0,VLOOKUP($I$614,$AO$613:$AP$615,2,FALSE))</f>
        <v>7</v>
      </c>
      <c r="AK621" s="1974"/>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079" t="s">
        <v>1694</v>
      </c>
      <c r="F625" s="2079"/>
      <c r="G625" s="2079"/>
      <c r="H625" s="2079"/>
      <c r="I625" s="2079"/>
      <c r="J625" s="2079"/>
      <c r="K625" s="2079"/>
      <c r="L625" s="2079"/>
      <c r="M625" s="2079"/>
      <c r="N625" s="2079"/>
      <c r="O625" s="2079"/>
      <c r="P625" s="2079"/>
      <c r="Q625" s="2079"/>
      <c r="R625" s="2079"/>
      <c r="S625" s="2079"/>
      <c r="T625" s="2079"/>
      <c r="U625" s="2079"/>
      <c r="V625" s="2079"/>
      <c r="W625" s="2079"/>
      <c r="X625" s="2079"/>
      <c r="Y625" s="2079"/>
      <c r="Z625" s="2079"/>
      <c r="AA625" s="2079"/>
      <c r="AB625" s="2079"/>
      <c r="AC625" s="2079"/>
      <c r="AD625" s="2079"/>
      <c r="AE625" s="540"/>
      <c r="AF625" s="2065" t="s">
        <v>1352</v>
      </c>
      <c r="AG625" s="2065"/>
      <c r="AH625" s="2065"/>
      <c r="AI625" s="2065"/>
      <c r="AJ625" s="2065"/>
      <c r="AK625" s="2065"/>
      <c r="AL625" s="2065"/>
      <c r="AM625" s="551"/>
      <c r="AN625" s="679"/>
    </row>
    <row r="626" spans="1:42" s="551" customFormat="1" ht="12.75" customHeight="1">
      <c r="A626" s="680"/>
      <c r="B626" s="537"/>
      <c r="C626" s="934"/>
      <c r="D626" s="664"/>
      <c r="E626" s="2079"/>
      <c r="F626" s="2079"/>
      <c r="G626" s="2079"/>
      <c r="H626" s="2079"/>
      <c r="I626" s="2079"/>
      <c r="J626" s="2079"/>
      <c r="K626" s="2079"/>
      <c r="L626" s="2079"/>
      <c r="M626" s="2079"/>
      <c r="N626" s="2079"/>
      <c r="O626" s="2079"/>
      <c r="P626" s="2079"/>
      <c r="Q626" s="2079"/>
      <c r="R626" s="2079"/>
      <c r="S626" s="2079"/>
      <c r="T626" s="2079"/>
      <c r="U626" s="2079"/>
      <c r="V626" s="2079"/>
      <c r="W626" s="2079"/>
      <c r="X626" s="2079"/>
      <c r="Y626" s="2079"/>
      <c r="Z626" s="2079"/>
      <c r="AA626" s="2079"/>
      <c r="AB626" s="2079"/>
      <c r="AC626" s="2079"/>
      <c r="AD626" s="2079"/>
      <c r="AE626" s="537"/>
      <c r="AF626" s="537"/>
      <c r="AG626" s="537"/>
      <c r="AH626" s="537"/>
      <c r="AI626" s="537"/>
      <c r="AJ626" s="537"/>
      <c r="AK626" s="537"/>
      <c r="AL626" s="537"/>
      <c r="AN626" s="598"/>
    </row>
    <row r="627" spans="1:42" s="551" customFormat="1" ht="12.75" customHeight="1">
      <c r="B627" s="537"/>
      <c r="C627" s="932"/>
      <c r="D627" s="664"/>
      <c r="E627" s="2079"/>
      <c r="F627" s="2079"/>
      <c r="G627" s="2079"/>
      <c r="H627" s="2079"/>
      <c r="I627" s="2079"/>
      <c r="J627" s="2079"/>
      <c r="K627" s="2079"/>
      <c r="L627" s="2079"/>
      <c r="M627" s="2079"/>
      <c r="N627" s="2079"/>
      <c r="O627" s="2079"/>
      <c r="P627" s="2079"/>
      <c r="Q627" s="2079"/>
      <c r="R627" s="2079"/>
      <c r="S627" s="2079"/>
      <c r="T627" s="2079"/>
      <c r="U627" s="2079"/>
      <c r="V627" s="2079"/>
      <c r="W627" s="2079"/>
      <c r="X627" s="2079"/>
      <c r="Y627" s="2079"/>
      <c r="Z627" s="2079"/>
      <c r="AA627" s="2079"/>
      <c r="AB627" s="2079"/>
      <c r="AC627" s="2079"/>
      <c r="AD627" s="2079"/>
      <c r="AE627" s="537"/>
      <c r="AF627" s="537"/>
      <c r="AG627" s="537"/>
      <c r="AH627" s="537"/>
      <c r="AI627" s="537"/>
      <c r="AJ627" s="537"/>
      <c r="AK627" s="537"/>
      <c r="AL627" s="537"/>
      <c r="AN627" s="598"/>
    </row>
    <row r="628" spans="1:42" s="551" customFormat="1" ht="12.75" customHeight="1">
      <c r="B628" s="537"/>
      <c r="C628" s="932"/>
      <c r="D628" s="664"/>
      <c r="E628" s="2079"/>
      <c r="F628" s="2079"/>
      <c r="G628" s="2079"/>
      <c r="H628" s="2079"/>
      <c r="I628" s="2079"/>
      <c r="J628" s="2079"/>
      <c r="K628" s="2079"/>
      <c r="L628" s="2079"/>
      <c r="M628" s="2079"/>
      <c r="N628" s="2079"/>
      <c r="O628" s="2079"/>
      <c r="P628" s="2079"/>
      <c r="Q628" s="2079"/>
      <c r="R628" s="2079"/>
      <c r="S628" s="2079"/>
      <c r="T628" s="2079"/>
      <c r="U628" s="2079"/>
      <c r="V628" s="2079"/>
      <c r="W628" s="2079"/>
      <c r="X628" s="2079"/>
      <c r="Y628" s="2079"/>
      <c r="Z628" s="2079"/>
      <c r="AA628" s="2079"/>
      <c r="AB628" s="2079"/>
      <c r="AC628" s="2079"/>
      <c r="AD628" s="2079"/>
      <c r="AE628" s="537"/>
      <c r="AF628" s="537"/>
      <c r="AG628" s="537"/>
      <c r="AH628" s="537"/>
      <c r="AI628" s="537"/>
      <c r="AJ628" s="537"/>
      <c r="AK628" s="537"/>
      <c r="AL628" s="537"/>
      <c r="AN628" s="598"/>
    </row>
    <row r="629" spans="1:42" s="551" customFormat="1" ht="12.75" customHeight="1">
      <c r="B629" s="537"/>
      <c r="C629" s="932"/>
      <c r="D629" s="664"/>
      <c r="E629" s="2079"/>
      <c r="F629" s="2079"/>
      <c r="G629" s="2079"/>
      <c r="H629" s="2079"/>
      <c r="I629" s="2079"/>
      <c r="J629" s="2079"/>
      <c r="K629" s="2079"/>
      <c r="L629" s="2079"/>
      <c r="M629" s="2079"/>
      <c r="N629" s="2079"/>
      <c r="O629" s="2079"/>
      <c r="P629" s="2079"/>
      <c r="Q629" s="2079"/>
      <c r="R629" s="2079"/>
      <c r="S629" s="2079"/>
      <c r="T629" s="2079"/>
      <c r="U629" s="2079"/>
      <c r="V629" s="2079"/>
      <c r="W629" s="2079"/>
      <c r="X629" s="2079"/>
      <c r="Y629" s="2079"/>
      <c r="Z629" s="2079"/>
      <c r="AA629" s="2079"/>
      <c r="AB629" s="2079"/>
      <c r="AC629" s="2079"/>
      <c r="AD629" s="2079"/>
      <c r="AE629" s="537"/>
      <c r="AF629" s="537"/>
      <c r="AG629" s="537"/>
      <c r="AH629" s="537"/>
      <c r="AI629" s="537"/>
      <c r="AJ629" s="537"/>
      <c r="AK629" s="537"/>
      <c r="AL629" s="537"/>
      <c r="AN629" s="598"/>
    </row>
    <row r="630" spans="1:42" s="551" customFormat="1" ht="12.75" customHeight="1">
      <c r="B630" s="537"/>
      <c r="C630" s="932"/>
      <c r="D630" s="664"/>
      <c r="E630" s="2079"/>
      <c r="F630" s="2079"/>
      <c r="G630" s="2079"/>
      <c r="H630" s="2079"/>
      <c r="I630" s="2079"/>
      <c r="J630" s="2079"/>
      <c r="K630" s="2079"/>
      <c r="L630" s="2079"/>
      <c r="M630" s="2079"/>
      <c r="N630" s="2079"/>
      <c r="O630" s="2079"/>
      <c r="P630" s="2079"/>
      <c r="Q630" s="2079"/>
      <c r="R630" s="2079"/>
      <c r="S630" s="2079"/>
      <c r="T630" s="2079"/>
      <c r="U630" s="2079"/>
      <c r="V630" s="2079"/>
      <c r="W630" s="2079"/>
      <c r="X630" s="2079"/>
      <c r="Y630" s="2079"/>
      <c r="Z630" s="2079"/>
      <c r="AA630" s="2079"/>
      <c r="AB630" s="2079"/>
      <c r="AC630" s="2079"/>
      <c r="AD630" s="2079"/>
      <c r="AE630" s="537"/>
      <c r="AF630" s="537"/>
      <c r="AG630" s="537"/>
      <c r="AH630" s="537"/>
      <c r="AI630" s="537"/>
      <c r="AJ630" s="537"/>
      <c r="AK630" s="537"/>
      <c r="AL630" s="537"/>
      <c r="AN630" s="598"/>
    </row>
    <row r="631" spans="1:42" s="551" customFormat="1" ht="12.75" customHeight="1">
      <c r="A631" s="638"/>
      <c r="B631" s="617"/>
      <c r="C631" s="941"/>
      <c r="D631" s="664"/>
      <c r="E631" s="2079"/>
      <c r="F631" s="2079"/>
      <c r="G631" s="2079"/>
      <c r="H631" s="2079"/>
      <c r="I631" s="2079"/>
      <c r="J631" s="2079"/>
      <c r="K631" s="2079"/>
      <c r="L631" s="2079"/>
      <c r="M631" s="2079"/>
      <c r="N631" s="2079"/>
      <c r="O631" s="2079"/>
      <c r="P631" s="2079"/>
      <c r="Q631" s="2079"/>
      <c r="R631" s="2079"/>
      <c r="S631" s="2079"/>
      <c r="T631" s="2079"/>
      <c r="U631" s="2079"/>
      <c r="V631" s="2079"/>
      <c r="W631" s="2079"/>
      <c r="X631" s="2079"/>
      <c r="Y631" s="2079"/>
      <c r="Z631" s="2079"/>
      <c r="AA631" s="2079"/>
      <c r="AB631" s="2079"/>
      <c r="AC631" s="2079"/>
      <c r="AD631" s="2079"/>
      <c r="AE631" s="617"/>
      <c r="AF631" s="617"/>
      <c r="AG631" s="617"/>
      <c r="AH631" s="617"/>
      <c r="AI631" s="617"/>
      <c r="AJ631" s="617"/>
      <c r="AK631" s="537"/>
      <c r="AL631" s="537"/>
      <c r="AN631" s="598"/>
    </row>
    <row r="632" spans="1:42" s="551" customFormat="1" ht="12.75" customHeight="1">
      <c r="B632" s="617"/>
      <c r="C632" s="941"/>
      <c r="D632" s="664"/>
      <c r="E632" s="2079"/>
      <c r="F632" s="2079"/>
      <c r="G632" s="2079"/>
      <c r="H632" s="2079"/>
      <c r="I632" s="2079"/>
      <c r="J632" s="2079"/>
      <c r="K632" s="2079"/>
      <c r="L632" s="2079"/>
      <c r="M632" s="2079"/>
      <c r="N632" s="2079"/>
      <c r="O632" s="2079"/>
      <c r="P632" s="2079"/>
      <c r="Q632" s="2079"/>
      <c r="R632" s="2079"/>
      <c r="S632" s="2079"/>
      <c r="T632" s="2079"/>
      <c r="U632" s="2079"/>
      <c r="V632" s="2079"/>
      <c r="W632" s="2079"/>
      <c r="X632" s="2079"/>
      <c r="Y632" s="2079"/>
      <c r="Z632" s="2079"/>
      <c r="AA632" s="2079"/>
      <c r="AB632" s="2079"/>
      <c r="AC632" s="2079"/>
      <c r="AD632" s="2079"/>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1937" t="s">
        <v>591</v>
      </c>
      <c r="Y634" s="1937"/>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065" t="s">
        <v>1408</v>
      </c>
      <c r="AG636" s="2065"/>
      <c r="AH636" s="2065"/>
      <c r="AI636" s="2065"/>
      <c r="AJ636" s="2065"/>
      <c r="AK636" s="2065"/>
      <c r="AL636" s="2065"/>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1989" t="s">
        <v>687</v>
      </c>
      <c r="I638" s="1989"/>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1972">
        <f>VLOOKUP($H$638,$AO$605:$AP$607,2,FALSE)</f>
        <v>3</v>
      </c>
      <c r="AK640" s="1974"/>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1965" t="s">
        <v>2099</v>
      </c>
      <c r="F644" s="1965"/>
      <c r="G644" s="1965"/>
      <c r="H644" s="1965"/>
      <c r="I644" s="1965"/>
      <c r="J644" s="1965"/>
      <c r="K644" s="1965"/>
      <c r="L644" s="1965"/>
      <c r="M644" s="1965"/>
      <c r="N644" s="1965"/>
      <c r="O644" s="1965"/>
      <c r="P644" s="1965"/>
      <c r="Q644" s="1965"/>
      <c r="R644" s="1965"/>
      <c r="S644" s="1965"/>
      <c r="T644" s="1965"/>
      <c r="U644" s="1965"/>
      <c r="V644" s="1965"/>
      <c r="W644" s="1965"/>
      <c r="X644" s="1965"/>
      <c r="Y644" s="1965"/>
      <c r="Z644" s="1965"/>
      <c r="AA644" s="1965"/>
      <c r="AB644" s="1965"/>
      <c r="AC644" s="1965"/>
      <c r="AD644" s="1965"/>
      <c r="AE644" s="537"/>
      <c r="AF644" s="2065" t="s">
        <v>1352</v>
      </c>
      <c r="AG644" s="2065"/>
      <c r="AH644" s="2065"/>
      <c r="AI644" s="2065"/>
      <c r="AJ644" s="2065"/>
      <c r="AK644" s="2065"/>
      <c r="AL644" s="2065"/>
      <c r="AN644" s="598"/>
    </row>
    <row r="645" spans="1:42" s="551" customFormat="1" ht="12.75" customHeight="1">
      <c r="B645" s="537"/>
      <c r="C645" s="537"/>
      <c r="D645" s="664"/>
      <c r="E645" s="1965"/>
      <c r="F645" s="1965"/>
      <c r="G645" s="1965"/>
      <c r="H645" s="1965"/>
      <c r="I645" s="1965"/>
      <c r="J645" s="1965"/>
      <c r="K645" s="1965"/>
      <c r="L645" s="1965"/>
      <c r="M645" s="1965"/>
      <c r="N645" s="1965"/>
      <c r="O645" s="1965"/>
      <c r="P645" s="1965"/>
      <c r="Q645" s="1965"/>
      <c r="R645" s="1965"/>
      <c r="S645" s="1965"/>
      <c r="T645" s="1965"/>
      <c r="U645" s="1965"/>
      <c r="V645" s="1965"/>
      <c r="W645" s="1965"/>
      <c r="X645" s="1965"/>
      <c r="Y645" s="1965"/>
      <c r="Z645" s="1965"/>
      <c r="AA645" s="1965"/>
      <c r="AB645" s="1965"/>
      <c r="AC645" s="1965"/>
      <c r="AD645" s="1965"/>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065" t="s">
        <v>1408</v>
      </c>
      <c r="AG647" s="2065"/>
      <c r="AH647" s="2065"/>
      <c r="AI647" s="2065"/>
      <c r="AJ647" s="2065"/>
      <c r="AK647" s="2065"/>
      <c r="AL647" s="2065"/>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1989" t="s">
        <v>509</v>
      </c>
      <c r="I650" s="1989"/>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1972">
        <f>VLOOKUP(H650,AT605:AU607,2,FALSE)</f>
        <v>2</v>
      </c>
      <c r="AK652" s="1974"/>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1965" t="s">
        <v>1418</v>
      </c>
      <c r="F657" s="1965"/>
      <c r="G657" s="1965"/>
      <c r="H657" s="1965"/>
      <c r="I657" s="1965"/>
      <c r="J657" s="1965"/>
      <c r="K657" s="1965"/>
      <c r="L657" s="1965"/>
      <c r="M657" s="1965"/>
      <c r="N657" s="1965"/>
      <c r="O657" s="1965"/>
      <c r="P657" s="1965"/>
      <c r="Q657" s="1965"/>
      <c r="R657" s="1965"/>
      <c r="S657" s="1965"/>
      <c r="T657" s="1965"/>
      <c r="U657" s="1965"/>
      <c r="V657" s="1965"/>
      <c r="W657" s="1965"/>
      <c r="X657" s="1965"/>
      <c r="Y657" s="1965"/>
      <c r="Z657" s="1965"/>
      <c r="AA657" s="1965"/>
      <c r="AB657" s="1965"/>
      <c r="AC657" s="1965"/>
      <c r="AD657" s="537"/>
      <c r="AE657" s="537"/>
      <c r="AF657" s="2065" t="s">
        <v>1378</v>
      </c>
      <c r="AG657" s="2065"/>
      <c r="AH657" s="2065"/>
      <c r="AI657" s="2065"/>
      <c r="AJ657" s="2065"/>
      <c r="AK657" s="2065"/>
      <c r="AL657" s="2065"/>
      <c r="AN657" s="598"/>
    </row>
    <row r="658" spans="1:42" s="551" customFormat="1" ht="12.75" customHeight="1">
      <c r="B658" s="537"/>
      <c r="C658" s="540"/>
      <c r="D658" s="537"/>
      <c r="E658" s="1965"/>
      <c r="F658" s="1965"/>
      <c r="G658" s="1965"/>
      <c r="H658" s="1965"/>
      <c r="I658" s="1965"/>
      <c r="J658" s="1965"/>
      <c r="K658" s="1965"/>
      <c r="L658" s="1965"/>
      <c r="M658" s="1965"/>
      <c r="N658" s="1965"/>
      <c r="O658" s="1965"/>
      <c r="P658" s="1965"/>
      <c r="Q658" s="1965"/>
      <c r="R658" s="1965"/>
      <c r="S658" s="1965"/>
      <c r="T658" s="1965"/>
      <c r="U658" s="1965"/>
      <c r="V658" s="1965"/>
      <c r="W658" s="1965"/>
      <c r="X658" s="1965"/>
      <c r="Y658" s="1965"/>
      <c r="Z658" s="1965"/>
      <c r="AA658" s="1965"/>
      <c r="AB658" s="1965"/>
      <c r="AC658" s="1965"/>
      <c r="AD658" s="537"/>
      <c r="AE658" s="537"/>
      <c r="AF658" s="537"/>
      <c r="AG658" s="537"/>
      <c r="AH658" s="537"/>
      <c r="AI658" s="537"/>
      <c r="AJ658" s="537"/>
      <c r="AK658" s="537"/>
      <c r="AL658" s="537"/>
      <c r="AN658" s="598"/>
    </row>
    <row r="659" spans="1:42" s="551" customFormat="1" ht="12.75" customHeight="1">
      <c r="B659" s="537"/>
      <c r="C659" s="540"/>
      <c r="D659" s="664"/>
      <c r="E659" s="1965"/>
      <c r="F659" s="1965"/>
      <c r="G659" s="1965"/>
      <c r="H659" s="1965"/>
      <c r="I659" s="1965"/>
      <c r="J659" s="1965"/>
      <c r="K659" s="1965"/>
      <c r="L659" s="1965"/>
      <c r="M659" s="1965"/>
      <c r="N659" s="1965"/>
      <c r="O659" s="1965"/>
      <c r="P659" s="1965"/>
      <c r="Q659" s="1965"/>
      <c r="R659" s="1965"/>
      <c r="S659" s="1965"/>
      <c r="T659" s="1965"/>
      <c r="U659" s="1965"/>
      <c r="V659" s="1965"/>
      <c r="W659" s="1965"/>
      <c r="X659" s="1965"/>
      <c r="Y659" s="1965"/>
      <c r="Z659" s="1965"/>
      <c r="AA659" s="1965"/>
      <c r="AB659" s="1965"/>
      <c r="AC659" s="1965"/>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1965" t="s">
        <v>1419</v>
      </c>
      <c r="F661" s="1965"/>
      <c r="G661" s="1965"/>
      <c r="H661" s="1965"/>
      <c r="I661" s="1965"/>
      <c r="J661" s="1965"/>
      <c r="K661" s="1965"/>
      <c r="L661" s="1965"/>
      <c r="M661" s="1965"/>
      <c r="N661" s="1965"/>
      <c r="O661" s="1965"/>
      <c r="P661" s="1965"/>
      <c r="Q661" s="1965"/>
      <c r="R661" s="1965"/>
      <c r="S661" s="1965"/>
      <c r="T661" s="1965"/>
      <c r="U661" s="1965"/>
      <c r="V661" s="1965"/>
      <c r="W661" s="1965"/>
      <c r="X661" s="1965"/>
      <c r="Y661" s="1965"/>
      <c r="Z661" s="1965"/>
      <c r="AA661" s="1965"/>
      <c r="AB661" s="1965"/>
      <c r="AC661" s="1965"/>
      <c r="AD661" s="537"/>
      <c r="AE661" s="537"/>
      <c r="AF661" s="2065" t="s">
        <v>1399</v>
      </c>
      <c r="AG661" s="2065"/>
      <c r="AH661" s="2065"/>
      <c r="AI661" s="2065"/>
      <c r="AJ661" s="2065"/>
      <c r="AK661" s="2065"/>
      <c r="AL661" s="2065"/>
      <c r="AN661" s="598"/>
    </row>
    <row r="662" spans="1:42" s="551" customFormat="1" ht="12.75" customHeight="1">
      <c r="B662" s="537"/>
      <c r="C662" s="540"/>
      <c r="D662" s="537"/>
      <c r="E662" s="1965"/>
      <c r="F662" s="1965"/>
      <c r="G662" s="1965"/>
      <c r="H662" s="1965"/>
      <c r="I662" s="1965"/>
      <c r="J662" s="1965"/>
      <c r="K662" s="1965"/>
      <c r="L662" s="1965"/>
      <c r="M662" s="1965"/>
      <c r="N662" s="1965"/>
      <c r="O662" s="1965"/>
      <c r="P662" s="1965"/>
      <c r="Q662" s="1965"/>
      <c r="R662" s="1965"/>
      <c r="S662" s="1965"/>
      <c r="T662" s="1965"/>
      <c r="U662" s="1965"/>
      <c r="V662" s="1965"/>
      <c r="W662" s="1965"/>
      <c r="X662" s="1965"/>
      <c r="Y662" s="1965"/>
      <c r="Z662" s="1965"/>
      <c r="AA662" s="1965"/>
      <c r="AB662" s="1965"/>
      <c r="AC662" s="1965"/>
      <c r="AD662" s="537"/>
      <c r="AE662" s="537"/>
      <c r="AF662" s="537"/>
      <c r="AG662" s="537"/>
      <c r="AH662" s="537"/>
      <c r="AI662" s="537"/>
      <c r="AJ662" s="537"/>
      <c r="AK662" s="537"/>
      <c r="AL662" s="537"/>
      <c r="AN662" s="598"/>
    </row>
    <row r="663" spans="1:42" s="551" customFormat="1" ht="15" customHeight="1">
      <c r="B663" s="537"/>
      <c r="C663" s="540"/>
      <c r="D663" s="664"/>
      <c r="E663" s="1965"/>
      <c r="F663" s="1965"/>
      <c r="G663" s="1965"/>
      <c r="H663" s="1965"/>
      <c r="I663" s="1965"/>
      <c r="J663" s="1965"/>
      <c r="K663" s="1965"/>
      <c r="L663" s="1965"/>
      <c r="M663" s="1965"/>
      <c r="N663" s="1965"/>
      <c r="O663" s="1965"/>
      <c r="P663" s="1965"/>
      <c r="Q663" s="1965"/>
      <c r="R663" s="1965"/>
      <c r="S663" s="1965"/>
      <c r="T663" s="1965"/>
      <c r="U663" s="1965"/>
      <c r="V663" s="1965"/>
      <c r="W663" s="1965"/>
      <c r="X663" s="1965"/>
      <c r="Y663" s="1965"/>
      <c r="Z663" s="1965"/>
      <c r="AA663" s="1965"/>
      <c r="AB663" s="1965"/>
      <c r="AC663" s="1965"/>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1965" t="s">
        <v>1420</v>
      </c>
      <c r="F665" s="1965"/>
      <c r="G665" s="1965"/>
      <c r="H665" s="1965"/>
      <c r="I665" s="1965"/>
      <c r="J665" s="1965"/>
      <c r="K665" s="1965"/>
      <c r="L665" s="1965"/>
      <c r="M665" s="1965"/>
      <c r="N665" s="1965"/>
      <c r="O665" s="1965"/>
      <c r="P665" s="1965"/>
      <c r="Q665" s="1965"/>
      <c r="R665" s="1965"/>
      <c r="S665" s="1965"/>
      <c r="T665" s="1965"/>
      <c r="U665" s="1965"/>
      <c r="V665" s="1965"/>
      <c r="W665" s="1965"/>
      <c r="X665" s="1965"/>
      <c r="Y665" s="1965"/>
      <c r="Z665" s="1965"/>
      <c r="AA665" s="1965"/>
      <c r="AB665" s="1965"/>
      <c r="AC665" s="1965"/>
      <c r="AD665" s="537"/>
      <c r="AE665" s="537"/>
      <c r="AF665" s="2065" t="s">
        <v>1352</v>
      </c>
      <c r="AG665" s="2065"/>
      <c r="AH665" s="2065"/>
      <c r="AI665" s="2065"/>
      <c r="AJ665" s="2065"/>
      <c r="AK665" s="2065"/>
      <c r="AL665" s="2065"/>
      <c r="AN665" s="598"/>
    </row>
    <row r="666" spans="1:42" s="551" customFormat="1" ht="12.75" customHeight="1">
      <c r="B666" s="537"/>
      <c r="C666" s="932"/>
      <c r="D666" s="537"/>
      <c r="E666" s="1965"/>
      <c r="F666" s="1965"/>
      <c r="G666" s="1965"/>
      <c r="H666" s="1965"/>
      <c r="I666" s="1965"/>
      <c r="J666" s="1965"/>
      <c r="K666" s="1965"/>
      <c r="L666" s="1965"/>
      <c r="M666" s="1965"/>
      <c r="N666" s="1965"/>
      <c r="O666" s="1965"/>
      <c r="P666" s="1965"/>
      <c r="Q666" s="1965"/>
      <c r="R666" s="1965"/>
      <c r="S666" s="1965"/>
      <c r="T666" s="1965"/>
      <c r="U666" s="1965"/>
      <c r="V666" s="1965"/>
      <c r="W666" s="1965"/>
      <c r="X666" s="1965"/>
      <c r="Y666" s="1965"/>
      <c r="Z666" s="1965"/>
      <c r="AA666" s="1965"/>
      <c r="AB666" s="1965"/>
      <c r="AC666" s="1965"/>
      <c r="AD666" s="537"/>
      <c r="AE666" s="2065"/>
      <c r="AF666" s="2065"/>
      <c r="AG666" s="2065"/>
      <c r="AH666" s="2065"/>
      <c r="AI666" s="2065"/>
      <c r="AJ666" s="2065"/>
      <c r="AK666" s="2065"/>
      <c r="AL666" s="595"/>
      <c r="AN666" s="598"/>
      <c r="AO666" s="551" t="s">
        <v>591</v>
      </c>
      <c r="AP666" s="674">
        <v>0</v>
      </c>
    </row>
    <row r="667" spans="1:42" s="551" customFormat="1" ht="12.75" customHeight="1">
      <c r="A667" s="680"/>
      <c r="B667" s="537"/>
      <c r="C667" s="537"/>
      <c r="D667" s="664"/>
      <c r="E667" s="1965"/>
      <c r="F667" s="1965"/>
      <c r="G667" s="1965"/>
      <c r="H667" s="1965"/>
      <c r="I667" s="1965"/>
      <c r="J667" s="1965"/>
      <c r="K667" s="1965"/>
      <c r="L667" s="1965"/>
      <c r="M667" s="1965"/>
      <c r="N667" s="1965"/>
      <c r="O667" s="1965"/>
      <c r="P667" s="1965"/>
      <c r="Q667" s="1965"/>
      <c r="R667" s="1965"/>
      <c r="S667" s="1965"/>
      <c r="T667" s="1965"/>
      <c r="U667" s="1965"/>
      <c r="V667" s="1965"/>
      <c r="W667" s="1965"/>
      <c r="X667" s="1965"/>
      <c r="Y667" s="1965"/>
      <c r="Z667" s="1965"/>
      <c r="AA667" s="1965"/>
      <c r="AB667" s="1965"/>
      <c r="AC667" s="1965"/>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1965" t="s">
        <v>1421</v>
      </c>
      <c r="F669" s="1965"/>
      <c r="G669" s="1965"/>
      <c r="H669" s="1965"/>
      <c r="I669" s="1965"/>
      <c r="J669" s="1965"/>
      <c r="K669" s="1965"/>
      <c r="L669" s="1965"/>
      <c r="M669" s="1965"/>
      <c r="N669" s="1965"/>
      <c r="O669" s="1965"/>
      <c r="P669" s="1965"/>
      <c r="Q669" s="1965"/>
      <c r="R669" s="1965"/>
      <c r="S669" s="1965"/>
      <c r="T669" s="1965"/>
      <c r="U669" s="1965"/>
      <c r="V669" s="1965"/>
      <c r="W669" s="1965"/>
      <c r="X669" s="1965"/>
      <c r="Y669" s="1965"/>
      <c r="Z669" s="1965"/>
      <c r="AA669" s="1965"/>
      <c r="AB669" s="1965"/>
      <c r="AC669" s="1965"/>
      <c r="AD669" s="537"/>
      <c r="AE669" s="537"/>
      <c r="AF669" s="2065" t="s">
        <v>1399</v>
      </c>
      <c r="AG669" s="2065"/>
      <c r="AH669" s="2065"/>
      <c r="AI669" s="2065"/>
      <c r="AJ669" s="2065"/>
      <c r="AK669" s="2065"/>
      <c r="AL669" s="2065"/>
      <c r="AN669" s="598"/>
    </row>
    <row r="670" spans="1:42" s="551" customFormat="1" ht="12.75" customHeight="1">
      <c r="A670" s="671"/>
      <c r="B670" s="537"/>
      <c r="C670" s="948"/>
      <c r="D670" s="664"/>
      <c r="E670" s="1965"/>
      <c r="F670" s="1965"/>
      <c r="G670" s="1965"/>
      <c r="H670" s="1965"/>
      <c r="I670" s="1965"/>
      <c r="J670" s="1965"/>
      <c r="K670" s="1965"/>
      <c r="L670" s="1965"/>
      <c r="M670" s="1965"/>
      <c r="N670" s="1965"/>
      <c r="O670" s="1965"/>
      <c r="P670" s="1965"/>
      <c r="Q670" s="1965"/>
      <c r="R670" s="1965"/>
      <c r="S670" s="1965"/>
      <c r="T670" s="1965"/>
      <c r="U670" s="1965"/>
      <c r="V670" s="1965"/>
      <c r="W670" s="1965"/>
      <c r="X670" s="1965"/>
      <c r="Y670" s="1965"/>
      <c r="Z670" s="1965"/>
      <c r="AA670" s="1965"/>
      <c r="AB670" s="1965"/>
      <c r="AC670" s="1965"/>
      <c r="AD670" s="537"/>
      <c r="AE670" s="595"/>
      <c r="AF670" s="595"/>
      <c r="AG670" s="595"/>
      <c r="AH670" s="595"/>
      <c r="AI670" s="595"/>
      <c r="AJ670" s="595"/>
      <c r="AK670" s="595"/>
      <c r="AL670" s="595"/>
      <c r="AM670" s="597"/>
      <c r="AN670" s="598"/>
    </row>
    <row r="671" spans="1:42" s="551" customFormat="1" ht="12.75" customHeight="1">
      <c r="A671" s="671"/>
      <c r="B671" s="537"/>
      <c r="C671" s="948"/>
      <c r="D671" s="664"/>
      <c r="E671" s="1965"/>
      <c r="F671" s="1965"/>
      <c r="G671" s="1965"/>
      <c r="H671" s="1965"/>
      <c r="I671" s="1965"/>
      <c r="J671" s="1965"/>
      <c r="K671" s="1965"/>
      <c r="L671" s="1965"/>
      <c r="M671" s="1965"/>
      <c r="N671" s="1965"/>
      <c r="O671" s="1965"/>
      <c r="P671" s="1965"/>
      <c r="Q671" s="1965"/>
      <c r="R671" s="1965"/>
      <c r="S671" s="1965"/>
      <c r="T671" s="1965"/>
      <c r="U671" s="1965"/>
      <c r="V671" s="1965"/>
      <c r="W671" s="1965"/>
      <c r="X671" s="1965"/>
      <c r="Y671" s="1965"/>
      <c r="Z671" s="1965"/>
      <c r="AA671" s="1965"/>
      <c r="AB671" s="1965"/>
      <c r="AC671" s="1965"/>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1965" t="s">
        <v>1422</v>
      </c>
      <c r="F673" s="1965"/>
      <c r="G673" s="1965"/>
      <c r="H673" s="1965"/>
      <c r="I673" s="1965"/>
      <c r="J673" s="1965"/>
      <c r="K673" s="1965"/>
      <c r="L673" s="1965"/>
      <c r="M673" s="1965"/>
      <c r="N673" s="1965"/>
      <c r="O673" s="1965"/>
      <c r="P673" s="1965"/>
      <c r="Q673" s="1965"/>
      <c r="R673" s="1965"/>
      <c r="S673" s="1965"/>
      <c r="T673" s="1965"/>
      <c r="U673" s="1965"/>
      <c r="V673" s="1965"/>
      <c r="W673" s="1965"/>
      <c r="X673" s="1965"/>
      <c r="Y673" s="1965"/>
      <c r="Z673" s="1965"/>
      <c r="AA673" s="1965"/>
      <c r="AB673" s="1965"/>
      <c r="AC673" s="1965"/>
      <c r="AD673" s="537"/>
      <c r="AE673" s="537"/>
      <c r="AF673" s="2065" t="s">
        <v>1352</v>
      </c>
      <c r="AG673" s="2065"/>
      <c r="AH673" s="2065"/>
      <c r="AI673" s="2065"/>
      <c r="AJ673" s="2065"/>
      <c r="AK673" s="2065"/>
      <c r="AL673" s="2065"/>
      <c r="AM673" s="597"/>
      <c r="AN673" s="598"/>
    </row>
    <row r="674" spans="1:42" s="551" customFormat="1" ht="12.75" customHeight="1">
      <c r="B674" s="537"/>
      <c r="C674" s="932"/>
      <c r="D674" s="664"/>
      <c r="E674" s="1965"/>
      <c r="F674" s="1965"/>
      <c r="G674" s="1965"/>
      <c r="H674" s="1965"/>
      <c r="I674" s="1965"/>
      <c r="J674" s="1965"/>
      <c r="K674" s="1965"/>
      <c r="L674" s="1965"/>
      <c r="M674" s="1965"/>
      <c r="N674" s="1965"/>
      <c r="O674" s="1965"/>
      <c r="P674" s="1965"/>
      <c r="Q674" s="1965"/>
      <c r="R674" s="1965"/>
      <c r="S674" s="1965"/>
      <c r="T674" s="1965"/>
      <c r="U674" s="1965"/>
      <c r="V674" s="1965"/>
      <c r="W674" s="1965"/>
      <c r="X674" s="1965"/>
      <c r="Y674" s="1965"/>
      <c r="Z674" s="1965"/>
      <c r="AA674" s="1965"/>
      <c r="AB674" s="1965"/>
      <c r="AC674" s="1965"/>
      <c r="AD674" s="537"/>
      <c r="AE674" s="537"/>
      <c r="AF674" s="537"/>
      <c r="AG674" s="537"/>
      <c r="AH674" s="537"/>
      <c r="AI674" s="537"/>
      <c r="AJ674" s="537"/>
      <c r="AK674" s="537"/>
      <c r="AL674" s="537"/>
      <c r="AM674" s="597"/>
      <c r="AN674" s="598"/>
    </row>
    <row r="675" spans="1:42" s="551" customFormat="1" ht="12.75" customHeight="1">
      <c r="B675" s="537"/>
      <c r="C675" s="932"/>
      <c r="D675" s="664"/>
      <c r="E675" s="1965"/>
      <c r="F675" s="1965"/>
      <c r="G675" s="1965"/>
      <c r="H675" s="1965"/>
      <c r="I675" s="1965"/>
      <c r="J675" s="1965"/>
      <c r="K675" s="1965"/>
      <c r="L675" s="1965"/>
      <c r="M675" s="1965"/>
      <c r="N675" s="1965"/>
      <c r="O675" s="1965"/>
      <c r="P675" s="1965"/>
      <c r="Q675" s="1965"/>
      <c r="R675" s="1965"/>
      <c r="S675" s="1965"/>
      <c r="T675" s="1965"/>
      <c r="U675" s="1965"/>
      <c r="V675" s="1965"/>
      <c r="W675" s="1965"/>
      <c r="X675" s="1965"/>
      <c r="Y675" s="1965"/>
      <c r="Z675" s="1965"/>
      <c r="AA675" s="1965"/>
      <c r="AB675" s="1965"/>
      <c r="AC675" s="1965"/>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1965" t="s">
        <v>1423</v>
      </c>
      <c r="F677" s="1965"/>
      <c r="G677" s="1965"/>
      <c r="H677" s="1965"/>
      <c r="I677" s="1965"/>
      <c r="J677" s="1965"/>
      <c r="K677" s="1965"/>
      <c r="L677" s="1965"/>
      <c r="M677" s="1965"/>
      <c r="N677" s="1965"/>
      <c r="O677" s="1965"/>
      <c r="P677" s="1965"/>
      <c r="Q677" s="1965"/>
      <c r="R677" s="1965"/>
      <c r="S677" s="1965"/>
      <c r="T677" s="1965"/>
      <c r="U677" s="1965"/>
      <c r="V677" s="1965"/>
      <c r="W677" s="1965"/>
      <c r="X677" s="1965"/>
      <c r="Y677" s="1965"/>
      <c r="Z677" s="1965"/>
      <c r="AA677" s="1965"/>
      <c r="AB677" s="1965"/>
      <c r="AC677" s="1965"/>
      <c r="AD677" s="537"/>
      <c r="AE677" s="537"/>
      <c r="AF677" s="2065" t="s">
        <v>1408</v>
      </c>
      <c r="AG677" s="2065"/>
      <c r="AH677" s="2065"/>
      <c r="AI677" s="2065"/>
      <c r="AJ677" s="2065"/>
      <c r="AK677" s="2065"/>
      <c r="AL677" s="2065"/>
      <c r="AM677" s="597"/>
      <c r="AN677" s="598"/>
    </row>
    <row r="678" spans="1:42" s="551" customFormat="1" ht="12.75" customHeight="1">
      <c r="A678" s="680"/>
      <c r="B678" s="537"/>
      <c r="C678" s="932"/>
      <c r="D678" s="664"/>
      <c r="E678" s="1965"/>
      <c r="F678" s="1965"/>
      <c r="G678" s="1965"/>
      <c r="H678" s="1965"/>
      <c r="I678" s="1965"/>
      <c r="J678" s="1965"/>
      <c r="K678" s="1965"/>
      <c r="L678" s="1965"/>
      <c r="M678" s="1965"/>
      <c r="N678" s="1965"/>
      <c r="O678" s="1965"/>
      <c r="P678" s="1965"/>
      <c r="Q678" s="1965"/>
      <c r="R678" s="1965"/>
      <c r="S678" s="1965"/>
      <c r="T678" s="1965"/>
      <c r="U678" s="1965"/>
      <c r="V678" s="1965"/>
      <c r="W678" s="1965"/>
      <c r="X678" s="1965"/>
      <c r="Y678" s="1965"/>
      <c r="Z678" s="1965"/>
      <c r="AA678" s="1965"/>
      <c r="AB678" s="1965"/>
      <c r="AC678" s="1965"/>
      <c r="AD678" s="537"/>
      <c r="AE678" s="537"/>
      <c r="AF678" s="595"/>
      <c r="AG678" s="595"/>
      <c r="AH678" s="595"/>
      <c r="AI678" s="595"/>
      <c r="AJ678" s="595"/>
      <c r="AK678" s="595"/>
      <c r="AL678" s="595"/>
      <c r="AM678" s="597"/>
      <c r="AN678" s="598"/>
    </row>
    <row r="679" spans="1:42" s="551" customFormat="1" ht="12.75" customHeight="1">
      <c r="A679" s="680"/>
      <c r="B679" s="537"/>
      <c r="C679" s="932"/>
      <c r="D679" s="664"/>
      <c r="E679" s="1965"/>
      <c r="F679" s="1965"/>
      <c r="G679" s="1965"/>
      <c r="H679" s="1965"/>
      <c r="I679" s="1965"/>
      <c r="J679" s="1965"/>
      <c r="K679" s="1965"/>
      <c r="L679" s="1965"/>
      <c r="M679" s="1965"/>
      <c r="N679" s="1965"/>
      <c r="O679" s="1965"/>
      <c r="P679" s="1965"/>
      <c r="Q679" s="1965"/>
      <c r="R679" s="1965"/>
      <c r="S679" s="1965"/>
      <c r="T679" s="1965"/>
      <c r="U679" s="1965"/>
      <c r="V679" s="1965"/>
      <c r="W679" s="1965"/>
      <c r="X679" s="1965"/>
      <c r="Y679" s="1965"/>
      <c r="Z679" s="1965"/>
      <c r="AA679" s="1965"/>
      <c r="AB679" s="1965"/>
      <c r="AC679" s="1965"/>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1965" t="s">
        <v>1424</v>
      </c>
      <c r="F681" s="1965"/>
      <c r="G681" s="1965"/>
      <c r="H681" s="1965"/>
      <c r="I681" s="1965"/>
      <c r="J681" s="1965"/>
      <c r="K681" s="1965"/>
      <c r="L681" s="1965"/>
      <c r="M681" s="1965"/>
      <c r="N681" s="1965"/>
      <c r="O681" s="1965"/>
      <c r="P681" s="1965"/>
      <c r="Q681" s="1965"/>
      <c r="R681" s="1965"/>
      <c r="S681" s="1965"/>
      <c r="T681" s="1965"/>
      <c r="U681" s="1965"/>
      <c r="V681" s="1965"/>
      <c r="W681" s="1965"/>
      <c r="X681" s="1965"/>
      <c r="Y681" s="1965"/>
      <c r="Z681" s="1965"/>
      <c r="AA681" s="1965"/>
      <c r="AB681" s="1965"/>
      <c r="AC681" s="1965"/>
      <c r="AD681" s="537"/>
      <c r="AE681" s="537"/>
      <c r="AF681" s="2065" t="s">
        <v>1425</v>
      </c>
      <c r="AG681" s="2065"/>
      <c r="AH681" s="2065"/>
      <c r="AI681" s="2065"/>
      <c r="AJ681" s="2065"/>
      <c r="AK681" s="2065"/>
      <c r="AL681" s="2065"/>
      <c r="AM681" s="597"/>
      <c r="AN681" s="598"/>
      <c r="AO681" s="612" t="s">
        <v>687</v>
      </c>
      <c r="AP681" s="551">
        <v>3</v>
      </c>
    </row>
    <row r="682" spans="1:42" s="551" customFormat="1" ht="12.75" customHeight="1">
      <c r="A682" s="680"/>
      <c r="B682" s="537"/>
      <c r="C682" s="932"/>
      <c r="D682" s="664"/>
      <c r="E682" s="1965"/>
      <c r="F682" s="1965"/>
      <c r="G682" s="1965"/>
      <c r="H682" s="1965"/>
      <c r="I682" s="1965"/>
      <c r="J682" s="1965"/>
      <c r="K682" s="1965"/>
      <c r="L682" s="1965"/>
      <c r="M682" s="1965"/>
      <c r="N682" s="1965"/>
      <c r="O682" s="1965"/>
      <c r="P682" s="1965"/>
      <c r="Q682" s="1965"/>
      <c r="R682" s="1965"/>
      <c r="S682" s="1965"/>
      <c r="T682" s="1965"/>
      <c r="U682" s="1965"/>
      <c r="V682" s="1965"/>
      <c r="W682" s="1965"/>
      <c r="X682" s="1965"/>
      <c r="Y682" s="1965"/>
      <c r="Z682" s="1965"/>
      <c r="AA682" s="1965"/>
      <c r="AB682" s="1965"/>
      <c r="AC682" s="1965"/>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1965"/>
      <c r="F683" s="1965"/>
      <c r="G683" s="1965"/>
      <c r="H683" s="1965"/>
      <c r="I683" s="1965"/>
      <c r="J683" s="1965"/>
      <c r="K683" s="1965"/>
      <c r="L683" s="1965"/>
      <c r="M683" s="1965"/>
      <c r="N683" s="1965"/>
      <c r="O683" s="1965"/>
      <c r="P683" s="1965"/>
      <c r="Q683" s="1965"/>
      <c r="R683" s="1965"/>
      <c r="S683" s="1965"/>
      <c r="T683" s="1965"/>
      <c r="U683" s="1965"/>
      <c r="V683" s="1965"/>
      <c r="W683" s="1965"/>
      <c r="X683" s="1965"/>
      <c r="Y683" s="1965"/>
      <c r="Z683" s="1965"/>
      <c r="AA683" s="1965"/>
      <c r="AB683" s="1965"/>
      <c r="AC683" s="1965"/>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1989" t="s">
        <v>277</v>
      </c>
      <c r="I685" s="1989"/>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1972">
        <f>VLOOKUP($H$685,$AO$633:$AP$640,2,FALSE)</f>
        <v>3</v>
      </c>
      <c r="AK687" s="1974"/>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63</v>
      </c>
    </row>
    <row r="691" spans="1:51" s="551" customFormat="1" ht="12.75" customHeight="1">
      <c r="A691" s="680"/>
      <c r="B691" s="537"/>
      <c r="C691" s="949"/>
      <c r="D691" s="664" t="s">
        <v>687</v>
      </c>
      <c r="E691" s="1935" t="s">
        <v>2191</v>
      </c>
      <c r="F691" s="1935"/>
      <c r="G691" s="1935"/>
      <c r="H691" s="1935"/>
      <c r="I691" s="1935"/>
      <c r="J691" s="1935"/>
      <c r="K691" s="1935"/>
      <c r="L691" s="1935"/>
      <c r="M691" s="1935"/>
      <c r="N691" s="1935"/>
      <c r="O691" s="1935"/>
      <c r="P691" s="1935"/>
      <c r="Q691" s="1935"/>
      <c r="R691" s="1935"/>
      <c r="S691" s="1935"/>
      <c r="T691" s="1935"/>
      <c r="U691" s="1935"/>
      <c r="V691" s="1935"/>
      <c r="W691" s="1935"/>
      <c r="X691" s="1935"/>
      <c r="Y691" s="1935"/>
      <c r="Z691" s="1935"/>
      <c r="AA691" s="1935"/>
      <c r="AB691" s="1935"/>
      <c r="AC691" s="537"/>
      <c r="AD691" s="537"/>
      <c r="AE691" s="537"/>
      <c r="AF691" s="2065" t="s">
        <v>1352</v>
      </c>
      <c r="AG691" s="2065"/>
      <c r="AH691" s="2065"/>
      <c r="AI691" s="2065"/>
      <c r="AJ691" s="2065"/>
      <c r="AK691" s="2065"/>
      <c r="AL691" s="2065"/>
      <c r="AN691" s="598"/>
      <c r="AW691" s="22" t="s">
        <v>2186</v>
      </c>
      <c r="AX691" s="551">
        <f>Application!DE753</f>
        <v>0</v>
      </c>
    </row>
    <row r="692" spans="1:51" s="551" customFormat="1" ht="12.75" customHeight="1">
      <c r="A692" s="680"/>
      <c r="B692" s="537"/>
      <c r="C692" s="949"/>
      <c r="D692" s="664"/>
      <c r="E692" s="1935"/>
      <c r="F692" s="1935"/>
      <c r="G692" s="1935"/>
      <c r="H692" s="1935"/>
      <c r="I692" s="1935"/>
      <c r="J692" s="1935"/>
      <c r="K692" s="1935"/>
      <c r="L692" s="1935"/>
      <c r="M692" s="1935"/>
      <c r="N692" s="1935"/>
      <c r="O692" s="1935"/>
      <c r="P692" s="1935"/>
      <c r="Q692" s="1935"/>
      <c r="R692" s="1935"/>
      <c r="S692" s="1935"/>
      <c r="T692" s="1935"/>
      <c r="U692" s="1935"/>
      <c r="V692" s="1935"/>
      <c r="W692" s="1935"/>
      <c r="X692" s="1935"/>
      <c r="Y692" s="1935"/>
      <c r="Z692" s="1935"/>
      <c r="AA692" s="1935"/>
      <c r="AB692" s="1935"/>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1965" t="s">
        <v>2135</v>
      </c>
      <c r="F694" s="1965"/>
      <c r="G694" s="1965"/>
      <c r="H694" s="1965"/>
      <c r="I694" s="1965"/>
      <c r="J694" s="1965"/>
      <c r="K694" s="1965"/>
      <c r="L694" s="1965"/>
      <c r="M694" s="1965"/>
      <c r="N694" s="1965"/>
      <c r="O694" s="1965"/>
      <c r="P694" s="1965"/>
      <c r="Q694" s="1965"/>
      <c r="R694" s="1965"/>
      <c r="S694" s="1965"/>
      <c r="T694" s="1965"/>
      <c r="U694" s="1965"/>
      <c r="V694" s="1965"/>
      <c r="W694" s="1965"/>
      <c r="X694" s="1965"/>
      <c r="Y694" s="1965"/>
      <c r="Z694" s="1965"/>
      <c r="AA694" s="1965"/>
      <c r="AB694" s="1965"/>
      <c r="AC694" s="537"/>
      <c r="AD694" s="537"/>
      <c r="AE694" s="537"/>
      <c r="AF694" s="2065" t="s">
        <v>1352</v>
      </c>
      <c r="AG694" s="2065"/>
      <c r="AH694" s="2065"/>
      <c r="AI694" s="2065"/>
      <c r="AJ694" s="2065"/>
      <c r="AK694" s="2065"/>
      <c r="AL694" s="2065"/>
      <c r="AN694" s="598"/>
      <c r="AW694" s="22" t="s">
        <v>2189</v>
      </c>
      <c r="AX694" s="551">
        <f>AX691+AX692+AX693</f>
        <v>0</v>
      </c>
    </row>
    <row r="695" spans="1:51" s="551" customFormat="1" ht="12.75" customHeight="1">
      <c r="B695" s="537"/>
      <c r="C695" s="941"/>
      <c r="D695" s="664"/>
      <c r="E695" s="1965"/>
      <c r="F695" s="1965"/>
      <c r="G695" s="1965"/>
      <c r="H695" s="1965"/>
      <c r="I695" s="1965"/>
      <c r="J695" s="1965"/>
      <c r="K695" s="1965"/>
      <c r="L695" s="1965"/>
      <c r="M695" s="1965"/>
      <c r="N695" s="1965"/>
      <c r="O695" s="1965"/>
      <c r="P695" s="1965"/>
      <c r="Q695" s="1965"/>
      <c r="R695" s="1965"/>
      <c r="S695" s="1965"/>
      <c r="T695" s="1965"/>
      <c r="U695" s="1965"/>
      <c r="V695" s="1965"/>
      <c r="W695" s="1965"/>
      <c r="X695" s="1965"/>
      <c r="Y695" s="1965"/>
      <c r="Z695" s="1965"/>
      <c r="AA695" s="1965"/>
      <c r="AB695" s="1965"/>
      <c r="AC695" s="537"/>
      <c r="AD695" s="537"/>
      <c r="AE695" s="617"/>
      <c r="AF695" s="537"/>
      <c r="AG695" s="537"/>
      <c r="AH695" s="537"/>
      <c r="AI695" s="537"/>
      <c r="AJ695" s="537"/>
      <c r="AK695" s="537"/>
      <c r="AL695" s="537"/>
      <c r="AN695" s="598"/>
      <c r="AO695" s="1979" t="b">
        <f>IF(Application!D211="Special Needs",IF(AY695&gt;=0.25,TRUE,FALSE),IF(AX695&gt;=0.25,TRUE,FALSE))</f>
        <v>0</v>
      </c>
      <c r="AP695" s="1979"/>
      <c r="AW695" s="22" t="s">
        <v>2190</v>
      </c>
      <c r="AX695" s="551">
        <f>IFERROR(AX694/AX690,0)</f>
        <v>0</v>
      </c>
      <c r="AY695" s="551">
        <f>IFERROR(AX694/(AX690-AX689),0)</f>
        <v>0</v>
      </c>
    </row>
    <row r="696" spans="1:51" s="551" customFormat="1" ht="12.75" customHeight="1">
      <c r="B696" s="537"/>
      <c r="C696" s="941"/>
      <c r="E696" s="1965"/>
      <c r="F696" s="1965"/>
      <c r="G696" s="1965"/>
      <c r="H696" s="1965"/>
      <c r="I696" s="1965"/>
      <c r="J696" s="1965"/>
      <c r="K696" s="1965"/>
      <c r="L696" s="1965"/>
      <c r="M696" s="1965"/>
      <c r="N696" s="1965"/>
      <c r="O696" s="1965"/>
      <c r="P696" s="1965"/>
      <c r="Q696" s="1965"/>
      <c r="R696" s="1965"/>
      <c r="S696" s="1965"/>
      <c r="T696" s="1965"/>
      <c r="U696" s="1965"/>
      <c r="V696" s="1965"/>
      <c r="W696" s="1965"/>
      <c r="X696" s="1965"/>
      <c r="Y696" s="1965"/>
      <c r="Z696" s="1965"/>
      <c r="AA696" s="1965"/>
      <c r="AB696" s="1965"/>
      <c r="AC696" s="537"/>
      <c r="AD696" s="537"/>
      <c r="AE696" s="617"/>
      <c r="AF696" s="617"/>
      <c r="AG696" s="617"/>
      <c r="AH696" s="617"/>
      <c r="AI696" s="617"/>
      <c r="AJ696" s="617"/>
      <c r="AK696" s="617"/>
      <c r="AL696" s="617"/>
      <c r="AN696" s="598"/>
      <c r="AW696" s="14"/>
    </row>
    <row r="697" spans="1:51" s="551" customFormat="1" ht="28.5" customHeight="1">
      <c r="B697" s="537"/>
      <c r="C697" s="941"/>
      <c r="D697" s="537"/>
      <c r="E697" s="1965"/>
      <c r="F697" s="1965"/>
      <c r="G697" s="1965"/>
      <c r="H697" s="1965"/>
      <c r="I697" s="1965"/>
      <c r="J697" s="1965"/>
      <c r="K697" s="1965"/>
      <c r="L697" s="1965"/>
      <c r="M697" s="1965"/>
      <c r="N697" s="1965"/>
      <c r="O697" s="1965"/>
      <c r="P697" s="1965"/>
      <c r="Q697" s="1965"/>
      <c r="R697" s="1965"/>
      <c r="S697" s="1965"/>
      <c r="T697" s="1965"/>
      <c r="U697" s="1965"/>
      <c r="V697" s="1965"/>
      <c r="W697" s="1965"/>
      <c r="X697" s="1965"/>
      <c r="Y697" s="1965"/>
      <c r="Z697" s="1965"/>
      <c r="AA697" s="1965"/>
      <c r="AB697" s="1965"/>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1965" t="s">
        <v>2136</v>
      </c>
      <c r="F699" s="1965"/>
      <c r="G699" s="1965"/>
      <c r="H699" s="1965"/>
      <c r="I699" s="1965"/>
      <c r="J699" s="1965"/>
      <c r="K699" s="1965"/>
      <c r="L699" s="1965"/>
      <c r="M699" s="1965"/>
      <c r="N699" s="1965"/>
      <c r="O699" s="1965"/>
      <c r="P699" s="1965"/>
      <c r="Q699" s="1965"/>
      <c r="R699" s="1965"/>
      <c r="S699" s="1965"/>
      <c r="T699" s="1965"/>
      <c r="U699" s="1965"/>
      <c r="V699" s="1965"/>
      <c r="W699" s="1965"/>
      <c r="X699" s="1965"/>
      <c r="Y699" s="1965"/>
      <c r="Z699" s="1965"/>
      <c r="AA699" s="1965"/>
      <c r="AB699" s="1965"/>
      <c r="AC699" s="537"/>
      <c r="AD699" s="537"/>
      <c r="AE699" s="537"/>
      <c r="AF699" s="2065" t="s">
        <v>1408</v>
      </c>
      <c r="AG699" s="2065"/>
      <c r="AH699" s="2065"/>
      <c r="AI699" s="2065"/>
      <c r="AJ699" s="2065"/>
      <c r="AK699" s="2065"/>
      <c r="AL699" s="2065"/>
      <c r="AN699" s="598"/>
      <c r="AO699" s="612" t="s">
        <v>509</v>
      </c>
      <c r="AP699" s="551">
        <v>1</v>
      </c>
    </row>
    <row r="700" spans="1:51" s="551" customFormat="1" ht="12" customHeight="1">
      <c r="B700" s="537"/>
      <c r="C700" s="932"/>
      <c r="E700" s="1965"/>
      <c r="F700" s="1965"/>
      <c r="G700" s="1965"/>
      <c r="H700" s="1965"/>
      <c r="I700" s="1965"/>
      <c r="J700" s="1965"/>
      <c r="K700" s="1965"/>
      <c r="L700" s="1965"/>
      <c r="M700" s="1965"/>
      <c r="N700" s="1965"/>
      <c r="O700" s="1965"/>
      <c r="P700" s="1965"/>
      <c r="Q700" s="1965"/>
      <c r="R700" s="1965"/>
      <c r="S700" s="1965"/>
      <c r="T700" s="1965"/>
      <c r="U700" s="1965"/>
      <c r="V700" s="1965"/>
      <c r="W700" s="1965"/>
      <c r="X700" s="1965"/>
      <c r="Y700" s="1965"/>
      <c r="Z700" s="1965"/>
      <c r="AA700" s="1965"/>
      <c r="AB700" s="1965"/>
      <c r="AC700" s="537"/>
      <c r="AD700" s="537"/>
      <c r="AE700" s="617"/>
      <c r="AF700" s="537"/>
      <c r="AG700" s="537"/>
      <c r="AH700" s="537"/>
      <c r="AI700" s="537"/>
      <c r="AJ700" s="537"/>
      <c r="AK700" s="537"/>
      <c r="AL700" s="537"/>
      <c r="AN700" s="598"/>
    </row>
    <row r="701" spans="1:51" s="551" customFormat="1" ht="12" customHeight="1">
      <c r="B701" s="537"/>
      <c r="C701" s="932"/>
      <c r="D701" s="537"/>
      <c r="E701" s="1965"/>
      <c r="F701" s="1965"/>
      <c r="G701" s="1965"/>
      <c r="H701" s="1965"/>
      <c r="I701" s="1965"/>
      <c r="J701" s="1965"/>
      <c r="K701" s="1965"/>
      <c r="L701" s="1965"/>
      <c r="M701" s="1965"/>
      <c r="N701" s="1965"/>
      <c r="O701" s="1965"/>
      <c r="P701" s="1965"/>
      <c r="Q701" s="1965"/>
      <c r="R701" s="1965"/>
      <c r="S701" s="1965"/>
      <c r="T701" s="1965"/>
      <c r="U701" s="1965"/>
      <c r="V701" s="1965"/>
      <c r="W701" s="1965"/>
      <c r="X701" s="1965"/>
      <c r="Y701" s="1965"/>
      <c r="Z701" s="1965"/>
      <c r="AA701" s="1965"/>
      <c r="AB701" s="1965"/>
      <c r="AC701" s="537"/>
      <c r="AD701" s="537"/>
      <c r="AE701" s="617"/>
      <c r="AF701" s="537"/>
      <c r="AG701" s="537"/>
      <c r="AH701" s="537"/>
      <c r="AI701" s="537"/>
      <c r="AJ701" s="537"/>
      <c r="AK701" s="537"/>
      <c r="AL701" s="537"/>
      <c r="AN701" s="598"/>
    </row>
    <row r="702" spans="1:51" s="551" customFormat="1" ht="12" customHeight="1">
      <c r="B702" s="537"/>
      <c r="C702" s="932"/>
      <c r="D702" s="537"/>
      <c r="E702" s="1965"/>
      <c r="F702" s="1965"/>
      <c r="G702" s="1965"/>
      <c r="H702" s="1965"/>
      <c r="I702" s="1965"/>
      <c r="J702" s="1965"/>
      <c r="K702" s="1965"/>
      <c r="L702" s="1965"/>
      <c r="M702" s="1965"/>
      <c r="N702" s="1965"/>
      <c r="O702" s="1965"/>
      <c r="P702" s="1965"/>
      <c r="Q702" s="1965"/>
      <c r="R702" s="1965"/>
      <c r="S702" s="1965"/>
      <c r="T702" s="1965"/>
      <c r="U702" s="1965"/>
      <c r="V702" s="1965"/>
      <c r="W702" s="1965"/>
      <c r="X702" s="1965"/>
      <c r="Y702" s="1965"/>
      <c r="Z702" s="1965"/>
      <c r="AA702" s="1965"/>
      <c r="AB702" s="1965"/>
      <c r="AC702" s="537"/>
      <c r="AD702" s="537"/>
      <c r="AE702" s="617"/>
      <c r="AF702" s="537"/>
      <c r="AG702" s="537"/>
      <c r="AH702" s="537"/>
      <c r="AI702" s="537"/>
      <c r="AJ702" s="537"/>
      <c r="AK702" s="537"/>
      <c r="AL702" s="537"/>
      <c r="AN702" s="598"/>
    </row>
    <row r="703" spans="1:51" s="571" customFormat="1" ht="13.05" customHeight="1">
      <c r="A703" s="551"/>
      <c r="B703" s="537"/>
      <c r="C703" s="932"/>
      <c r="D703" s="537"/>
      <c r="E703" s="1965"/>
      <c r="F703" s="1965"/>
      <c r="G703" s="1965"/>
      <c r="H703" s="1965"/>
      <c r="I703" s="1965"/>
      <c r="J703" s="1965"/>
      <c r="K703" s="1965"/>
      <c r="L703" s="1965"/>
      <c r="M703" s="1965"/>
      <c r="N703" s="1965"/>
      <c r="O703" s="1965"/>
      <c r="P703" s="1965"/>
      <c r="Q703" s="1965"/>
      <c r="R703" s="1965"/>
      <c r="S703" s="1965"/>
      <c r="T703" s="1965"/>
      <c r="U703" s="1965"/>
      <c r="V703" s="1965"/>
      <c r="W703" s="1965"/>
      <c r="X703" s="1965"/>
      <c r="Y703" s="1965"/>
      <c r="Z703" s="1965"/>
      <c r="AA703" s="1965"/>
      <c r="AB703" s="1965"/>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1965" t="s">
        <v>1693</v>
      </c>
      <c r="F705" s="1965"/>
      <c r="G705" s="1965"/>
      <c r="H705" s="1965"/>
      <c r="I705" s="1965"/>
      <c r="J705" s="1965"/>
      <c r="K705" s="1965"/>
      <c r="L705" s="1965"/>
      <c r="M705" s="1965"/>
      <c r="N705" s="1965"/>
      <c r="O705" s="1965"/>
      <c r="P705" s="1965"/>
      <c r="Q705" s="1965"/>
      <c r="R705" s="1965"/>
      <c r="S705" s="1965"/>
      <c r="T705" s="1965"/>
      <c r="U705" s="1965"/>
      <c r="V705" s="1965"/>
      <c r="W705" s="1965"/>
      <c r="X705" s="1965"/>
      <c r="Y705" s="1965"/>
      <c r="Z705" s="1965"/>
      <c r="AA705" s="1965"/>
      <c r="AB705" s="1965"/>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1965"/>
      <c r="F706" s="1965"/>
      <c r="G706" s="1965"/>
      <c r="H706" s="1965"/>
      <c r="I706" s="1965"/>
      <c r="J706" s="1965"/>
      <c r="K706" s="1965"/>
      <c r="L706" s="1965"/>
      <c r="M706" s="1965"/>
      <c r="N706" s="1965"/>
      <c r="O706" s="1965"/>
      <c r="P706" s="1965"/>
      <c r="Q706" s="1965"/>
      <c r="R706" s="1965"/>
      <c r="S706" s="1965"/>
      <c r="T706" s="1965"/>
      <c r="U706" s="1965"/>
      <c r="V706" s="1965"/>
      <c r="W706" s="1965"/>
      <c r="X706" s="1965"/>
      <c r="Y706" s="1965"/>
      <c r="Z706" s="1965"/>
      <c r="AA706" s="1965"/>
      <c r="AB706" s="1965"/>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1965"/>
      <c r="F707" s="1965"/>
      <c r="G707" s="1965"/>
      <c r="H707" s="1965"/>
      <c r="I707" s="1965"/>
      <c r="J707" s="1965"/>
      <c r="K707" s="1965"/>
      <c r="L707" s="1965"/>
      <c r="M707" s="1965"/>
      <c r="N707" s="1965"/>
      <c r="O707" s="1965"/>
      <c r="P707" s="1965"/>
      <c r="Q707" s="1965"/>
      <c r="R707" s="1965"/>
      <c r="S707" s="1965"/>
      <c r="T707" s="1965"/>
      <c r="U707" s="1965"/>
      <c r="V707" s="1965"/>
      <c r="W707" s="1965"/>
      <c r="X707" s="1965"/>
      <c r="Y707" s="1965"/>
      <c r="Z707" s="1965"/>
      <c r="AA707" s="1965"/>
      <c r="AB707" s="1965"/>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1989" t="s">
        <v>591</v>
      </c>
      <c r="I709" s="1989"/>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1972">
        <f>VLOOKUP($H$709,$AO$703:$AP$706,2,FALSE)</f>
        <v>0</v>
      </c>
      <c r="AK711" s="1974"/>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077" t="s">
        <v>1695</v>
      </c>
      <c r="F715" s="2077"/>
      <c r="G715" s="2077"/>
      <c r="H715" s="2077"/>
      <c r="I715" s="2077"/>
      <c r="J715" s="2077"/>
      <c r="K715" s="2077"/>
      <c r="L715" s="2077"/>
      <c r="M715" s="2077"/>
      <c r="N715" s="2077"/>
      <c r="O715" s="2077"/>
      <c r="P715" s="2077"/>
      <c r="Q715" s="2077"/>
      <c r="R715" s="2077"/>
      <c r="S715" s="2077"/>
      <c r="T715" s="2077"/>
      <c r="U715" s="2077"/>
      <c r="V715" s="2077"/>
      <c r="W715" s="2077"/>
      <c r="X715" s="2077"/>
      <c r="Y715" s="2077"/>
      <c r="Z715" s="2077"/>
      <c r="AA715" s="2077"/>
      <c r="AB715" s="2077"/>
      <c r="AC715" s="537"/>
      <c r="AD715" s="537"/>
      <c r="AE715" s="537"/>
      <c r="AF715" s="2065" t="s">
        <v>1352</v>
      </c>
      <c r="AG715" s="2065"/>
      <c r="AH715" s="2065"/>
      <c r="AI715" s="2065"/>
      <c r="AJ715" s="2065"/>
      <c r="AK715" s="2065"/>
      <c r="AL715" s="2065"/>
      <c r="AM715" s="551"/>
      <c r="AN715" s="685"/>
      <c r="AP715" s="571" t="s">
        <v>1432</v>
      </c>
    </row>
    <row r="716" spans="1:43" s="571" customFormat="1" ht="11.85" customHeight="1">
      <c r="A716" s="551"/>
      <c r="B716" s="537"/>
      <c r="C716" s="934"/>
      <c r="D716" s="664"/>
      <c r="E716" s="2077"/>
      <c r="F716" s="2077"/>
      <c r="G716" s="2077"/>
      <c r="H716" s="2077"/>
      <c r="I716" s="2077"/>
      <c r="J716" s="2077"/>
      <c r="K716" s="2077"/>
      <c r="L716" s="2077"/>
      <c r="M716" s="2077"/>
      <c r="N716" s="2077"/>
      <c r="O716" s="2077"/>
      <c r="P716" s="2077"/>
      <c r="Q716" s="2077"/>
      <c r="R716" s="2077"/>
      <c r="S716" s="2077"/>
      <c r="T716" s="2077"/>
      <c r="U716" s="2077"/>
      <c r="V716" s="2077"/>
      <c r="W716" s="2077"/>
      <c r="X716" s="2077"/>
      <c r="Y716" s="2077"/>
      <c r="Z716" s="2077"/>
      <c r="AA716" s="2077"/>
      <c r="AB716" s="2077"/>
      <c r="AC716" s="537"/>
      <c r="AD716" s="537"/>
      <c r="AE716" s="537"/>
      <c r="AF716" s="537"/>
      <c r="AG716" s="537"/>
      <c r="AH716" s="537"/>
      <c r="AI716" s="537"/>
      <c r="AJ716" s="537"/>
      <c r="AK716" s="537"/>
      <c r="AL716" s="537"/>
      <c r="AM716" s="551"/>
      <c r="AN716" s="685"/>
      <c r="AP716" s="571" t="s">
        <v>1433</v>
      </c>
    </row>
    <row r="717" spans="1:43" s="571" customFormat="1" ht="13.95" customHeight="1">
      <c r="A717" s="551"/>
      <c r="B717" s="611"/>
      <c r="C717" s="932"/>
      <c r="D717" s="664"/>
      <c r="E717" s="2077"/>
      <c r="F717" s="2077"/>
      <c r="G717" s="2077"/>
      <c r="H717" s="2077"/>
      <c r="I717" s="2077"/>
      <c r="J717" s="2077"/>
      <c r="K717" s="2077"/>
      <c r="L717" s="2077"/>
      <c r="M717" s="2077"/>
      <c r="N717" s="2077"/>
      <c r="O717" s="2077"/>
      <c r="P717" s="2077"/>
      <c r="Q717" s="2077"/>
      <c r="R717" s="2077"/>
      <c r="S717" s="2077"/>
      <c r="T717" s="2077"/>
      <c r="U717" s="2077"/>
      <c r="V717" s="2077"/>
      <c r="W717" s="2077"/>
      <c r="X717" s="2077"/>
      <c r="Y717" s="2077"/>
      <c r="Z717" s="2077"/>
      <c r="AA717" s="2077"/>
      <c r="AB717" s="2077"/>
      <c r="AC717" s="537"/>
      <c r="AD717" s="537"/>
      <c r="AE717" s="617"/>
      <c r="AF717" s="537"/>
      <c r="AG717" s="537"/>
      <c r="AH717" s="537"/>
      <c r="AI717" s="537"/>
      <c r="AJ717" s="537"/>
      <c r="AK717" s="537"/>
      <c r="AL717" s="537"/>
      <c r="AM717" s="551"/>
      <c r="AN717" s="685"/>
      <c r="AP717" s="571" t="s">
        <v>1434</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5" customHeight="1">
      <c r="A719" s="551"/>
      <c r="B719" s="537"/>
      <c r="C719" s="932"/>
      <c r="D719" s="664" t="s">
        <v>509</v>
      </c>
      <c r="E719" s="2078" t="s">
        <v>1435</v>
      </c>
      <c r="F719" s="2078"/>
      <c r="G719" s="2078"/>
      <c r="H719" s="2078"/>
      <c r="I719" s="2078"/>
      <c r="J719" s="2078"/>
      <c r="K719" s="2078"/>
      <c r="L719" s="2078"/>
      <c r="M719" s="2078"/>
      <c r="N719" s="2078"/>
      <c r="O719" s="2078"/>
      <c r="P719" s="2078"/>
      <c r="Q719" s="2078"/>
      <c r="R719" s="2078"/>
      <c r="S719" s="2078"/>
      <c r="T719" s="2078"/>
      <c r="U719" s="2078"/>
      <c r="V719" s="2078"/>
      <c r="W719" s="2078"/>
      <c r="X719" s="2078"/>
      <c r="Y719" s="2078"/>
      <c r="Z719" s="2078"/>
      <c r="AA719" s="2078"/>
      <c r="AB719" s="2078"/>
      <c r="AC719" s="537"/>
      <c r="AD719" s="537"/>
      <c r="AE719" s="537"/>
      <c r="AF719" s="2065" t="s">
        <v>1408</v>
      </c>
      <c r="AG719" s="2065"/>
      <c r="AH719" s="2065"/>
      <c r="AI719" s="2065"/>
      <c r="AJ719" s="2065"/>
      <c r="AK719" s="2065"/>
      <c r="AL719" s="2065"/>
      <c r="AM719" s="551"/>
      <c r="AN719" s="686"/>
    </row>
    <row r="720" spans="1:43" s="571" customFormat="1" ht="12.75" customHeight="1">
      <c r="A720" s="551"/>
      <c r="B720" s="537"/>
      <c r="C720" s="934"/>
      <c r="D720" s="537"/>
      <c r="E720" s="2078"/>
      <c r="F720" s="2078"/>
      <c r="G720" s="2078"/>
      <c r="H720" s="2078"/>
      <c r="I720" s="2078"/>
      <c r="J720" s="2078"/>
      <c r="K720" s="2078"/>
      <c r="L720" s="2078"/>
      <c r="M720" s="2078"/>
      <c r="N720" s="2078"/>
      <c r="O720" s="2078"/>
      <c r="P720" s="2078"/>
      <c r="Q720" s="2078"/>
      <c r="R720" s="2078"/>
      <c r="S720" s="2078"/>
      <c r="T720" s="2078"/>
      <c r="U720" s="2078"/>
      <c r="V720" s="2078"/>
      <c r="W720" s="2078"/>
      <c r="X720" s="2078"/>
      <c r="Y720" s="2078"/>
      <c r="Z720" s="2078"/>
      <c r="AA720" s="2078"/>
      <c r="AB720" s="2078"/>
      <c r="AC720" s="537"/>
      <c r="AD720" s="537"/>
      <c r="AE720" s="537"/>
      <c r="AF720" s="537"/>
      <c r="AG720" s="537"/>
      <c r="AH720" s="537"/>
      <c r="AI720" s="537"/>
      <c r="AJ720" s="537"/>
      <c r="AK720" s="537"/>
      <c r="AL720" s="537"/>
      <c r="AM720" s="551"/>
      <c r="AN720" s="685"/>
      <c r="AP720" s="551" t="s">
        <v>591</v>
      </c>
      <c r="AQ720" s="674">
        <v>0</v>
      </c>
    </row>
    <row r="721" spans="1:81" s="571" customFormat="1" ht="13.95" customHeight="1">
      <c r="A721" s="551"/>
      <c r="B721" s="537"/>
      <c r="C721" s="934"/>
      <c r="D721" s="537"/>
      <c r="E721" s="2078"/>
      <c r="F721" s="2078"/>
      <c r="G721" s="2078"/>
      <c r="H721" s="2078"/>
      <c r="I721" s="2078"/>
      <c r="J721" s="2078"/>
      <c r="K721" s="2078"/>
      <c r="L721" s="2078"/>
      <c r="M721" s="2078"/>
      <c r="N721" s="2078"/>
      <c r="O721" s="2078"/>
      <c r="P721" s="2078"/>
      <c r="Q721" s="2078"/>
      <c r="R721" s="2078"/>
      <c r="S721" s="2078"/>
      <c r="T721" s="2078"/>
      <c r="U721" s="2078"/>
      <c r="V721" s="2078"/>
      <c r="W721" s="2078"/>
      <c r="X721" s="2078"/>
      <c r="Y721" s="2078"/>
      <c r="Z721" s="2078"/>
      <c r="AA721" s="2078"/>
      <c r="AB721" s="2078"/>
      <c r="AC721" s="537"/>
      <c r="AD721" s="537"/>
      <c r="AE721" s="537"/>
      <c r="AF721" s="537"/>
      <c r="AG721" s="537"/>
      <c r="AH721" s="537"/>
      <c r="AI721" s="537"/>
      <c r="AJ721" s="537"/>
      <c r="AK721" s="537"/>
      <c r="AL721" s="537"/>
      <c r="AM721" s="551"/>
      <c r="AN721" s="685"/>
      <c r="AP721" s="612" t="s">
        <v>687</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5" customHeight="1">
      <c r="A723" s="551"/>
      <c r="B723" s="537"/>
      <c r="C723" s="934"/>
      <c r="D723" s="537" t="s">
        <v>1400</v>
      </c>
      <c r="E723" s="937"/>
      <c r="F723" s="937"/>
      <c r="G723" s="937"/>
      <c r="H723" s="1989" t="s">
        <v>687</v>
      </c>
      <c r="I723" s="1989"/>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1972">
        <f>VLOOKUP($H$723,$AP$720:$AQ$722,2,FALSE)</f>
        <v>3</v>
      </c>
      <c r="AK725" s="1974"/>
      <c r="AL725" s="596"/>
      <c r="AM725" s="551"/>
      <c r="AN725" s="685"/>
      <c r="AP725" s="1972"/>
      <c r="AQ725" s="1974"/>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1965" t="s">
        <v>1696</v>
      </c>
      <c r="F729" s="1965"/>
      <c r="G729" s="1965"/>
      <c r="H729" s="1965"/>
      <c r="I729" s="1965"/>
      <c r="J729" s="1965"/>
      <c r="K729" s="1965"/>
      <c r="L729" s="1965"/>
      <c r="M729" s="1965"/>
      <c r="N729" s="1965"/>
      <c r="O729" s="1965"/>
      <c r="P729" s="1965"/>
      <c r="Q729" s="1965"/>
      <c r="R729" s="1965"/>
      <c r="S729" s="1965"/>
      <c r="T729" s="1965"/>
      <c r="U729" s="1965"/>
      <c r="V729" s="1965"/>
      <c r="W729" s="1965"/>
      <c r="X729" s="1965"/>
      <c r="Y729" s="1965"/>
      <c r="Z729" s="1965"/>
      <c r="AA729" s="1965"/>
      <c r="AB729" s="1965"/>
      <c r="AC729" s="537"/>
      <c r="AD729" s="537"/>
      <c r="AE729" s="537"/>
      <c r="AF729" s="2065" t="s">
        <v>1352</v>
      </c>
      <c r="AG729" s="2065"/>
      <c r="AH729" s="2065"/>
      <c r="AI729" s="2065"/>
      <c r="AJ729" s="2065"/>
      <c r="AK729" s="2065"/>
      <c r="AL729" s="2065"/>
      <c r="AM729" s="551"/>
      <c r="AN729" s="685"/>
      <c r="AT729" s="14"/>
      <c r="AU729" s="14"/>
      <c r="AV729" s="14"/>
      <c r="AW729" s="14"/>
      <c r="AX729" s="14"/>
      <c r="AY729" s="14"/>
      <c r="AZ729" s="14"/>
    </row>
    <row r="730" spans="1:81" s="571" customFormat="1">
      <c r="A730" s="551"/>
      <c r="B730" s="537"/>
      <c r="C730" s="934"/>
      <c r="D730" s="664"/>
      <c r="E730" s="1965"/>
      <c r="F730" s="1965"/>
      <c r="G730" s="1965"/>
      <c r="H730" s="1965"/>
      <c r="I730" s="1965"/>
      <c r="J730" s="1965"/>
      <c r="K730" s="1965"/>
      <c r="L730" s="1965"/>
      <c r="M730" s="1965"/>
      <c r="N730" s="1965"/>
      <c r="O730" s="1965"/>
      <c r="P730" s="1965"/>
      <c r="Q730" s="1965"/>
      <c r="R730" s="1965"/>
      <c r="S730" s="1965"/>
      <c r="T730" s="1965"/>
      <c r="U730" s="1965"/>
      <c r="V730" s="1965"/>
      <c r="W730" s="1965"/>
      <c r="X730" s="1965"/>
      <c r="Y730" s="1965"/>
      <c r="Z730" s="1965"/>
      <c r="AA730" s="1965"/>
      <c r="AB730" s="1965"/>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1965" t="s">
        <v>1439</v>
      </c>
      <c r="F732" s="1965"/>
      <c r="G732" s="1965"/>
      <c r="H732" s="1965"/>
      <c r="I732" s="1965"/>
      <c r="J732" s="1965"/>
      <c r="K732" s="1965"/>
      <c r="L732" s="1965"/>
      <c r="M732" s="1965"/>
      <c r="N732" s="1965"/>
      <c r="O732" s="1965"/>
      <c r="P732" s="1965"/>
      <c r="Q732" s="1965"/>
      <c r="R732" s="1965"/>
      <c r="S732" s="1965"/>
      <c r="T732" s="1965"/>
      <c r="U732" s="1965"/>
      <c r="V732" s="1965"/>
      <c r="W732" s="1965"/>
      <c r="X732" s="1965"/>
      <c r="Y732" s="1965"/>
      <c r="Z732" s="1965"/>
      <c r="AA732" s="1965"/>
      <c r="AB732" s="1965"/>
      <c r="AC732" s="537"/>
      <c r="AD732" s="537"/>
      <c r="AE732" s="537"/>
      <c r="AF732" s="2065" t="s">
        <v>1408</v>
      </c>
      <c r="AG732" s="2065"/>
      <c r="AH732" s="2065"/>
      <c r="AI732" s="2065"/>
      <c r="AJ732" s="2065"/>
      <c r="AK732" s="2065"/>
      <c r="AL732" s="2065"/>
      <c r="AM732" s="551"/>
      <c r="AN732" s="685"/>
      <c r="AT732" s="14"/>
      <c r="AU732" s="14"/>
      <c r="AV732" s="14"/>
      <c r="AW732" s="14"/>
      <c r="AX732" s="14"/>
      <c r="AY732" s="14"/>
      <c r="AZ732" s="14"/>
    </row>
    <row r="733" spans="1:81" s="571" customFormat="1">
      <c r="A733" s="551"/>
      <c r="B733" s="537"/>
      <c r="C733" s="934"/>
      <c r="D733" s="537"/>
      <c r="E733" s="1965"/>
      <c r="F733" s="1965"/>
      <c r="G733" s="1965"/>
      <c r="H733" s="1965"/>
      <c r="I733" s="1965"/>
      <c r="J733" s="1965"/>
      <c r="K733" s="1965"/>
      <c r="L733" s="1965"/>
      <c r="M733" s="1965"/>
      <c r="N733" s="1965"/>
      <c r="O733" s="1965"/>
      <c r="P733" s="1965"/>
      <c r="Q733" s="1965"/>
      <c r="R733" s="1965"/>
      <c r="S733" s="1965"/>
      <c r="T733" s="1965"/>
      <c r="U733" s="1965"/>
      <c r="V733" s="1965"/>
      <c r="W733" s="1965"/>
      <c r="X733" s="1965"/>
      <c r="Y733" s="1965"/>
      <c r="Z733" s="1965"/>
      <c r="AA733" s="1965"/>
      <c r="AB733" s="1965"/>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1989" t="s">
        <v>591</v>
      </c>
      <c r="I735" s="1989"/>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1972">
        <f>VLOOKUP($H$735,$AO$666:$AP$668,2,FALSE)</f>
        <v>0</v>
      </c>
      <c r="AK737" s="1974"/>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1965" t="s">
        <v>1442</v>
      </c>
      <c r="F741" s="1965"/>
      <c r="G741" s="1965"/>
      <c r="H741" s="1965"/>
      <c r="I741" s="1965"/>
      <c r="J741" s="1965"/>
      <c r="K741" s="1965"/>
      <c r="L741" s="1965"/>
      <c r="M741" s="1965"/>
      <c r="N741" s="1965"/>
      <c r="O741" s="1965"/>
      <c r="P741" s="1965"/>
      <c r="Q741" s="1965"/>
      <c r="R741" s="1965"/>
      <c r="S741" s="1965"/>
      <c r="T741" s="1965"/>
      <c r="U741" s="1965"/>
      <c r="V741" s="1965"/>
      <c r="W741" s="1965"/>
      <c r="X741" s="1965"/>
      <c r="Y741" s="1965"/>
      <c r="Z741" s="1965"/>
      <c r="AA741" s="1965"/>
      <c r="AB741" s="1965"/>
      <c r="AC741" s="537"/>
      <c r="AD741" s="537"/>
      <c r="AE741" s="537"/>
      <c r="AF741" s="2065" t="s">
        <v>1352</v>
      </c>
      <c r="AG741" s="2065"/>
      <c r="AH741" s="2065"/>
      <c r="AI741" s="2065"/>
      <c r="AJ741" s="2065"/>
      <c r="AK741" s="2065"/>
      <c r="AL741" s="2065"/>
      <c r="AM741" s="551"/>
      <c r="AN741" s="685"/>
      <c r="AT741" s="14"/>
      <c r="AU741" s="14"/>
      <c r="AV741" s="14"/>
      <c r="AW741" s="14"/>
      <c r="AX741" s="14"/>
      <c r="AY741" s="14"/>
      <c r="AZ741" s="14"/>
    </row>
    <row r="742" spans="1:81" s="571" customFormat="1">
      <c r="A742" s="551"/>
      <c r="B742" s="537"/>
      <c r="C742" s="932"/>
      <c r="D742" s="664"/>
      <c r="E742" s="1965"/>
      <c r="F742" s="1965"/>
      <c r="G742" s="1965"/>
      <c r="H742" s="1965"/>
      <c r="I742" s="1965"/>
      <c r="J742" s="1965"/>
      <c r="K742" s="1965"/>
      <c r="L742" s="1965"/>
      <c r="M742" s="1965"/>
      <c r="N742" s="1965"/>
      <c r="O742" s="1965"/>
      <c r="P742" s="1965"/>
      <c r="Q742" s="1965"/>
      <c r="R742" s="1965"/>
      <c r="S742" s="1965"/>
      <c r="T742" s="1965"/>
      <c r="U742" s="1965"/>
      <c r="V742" s="1965"/>
      <c r="W742" s="1965"/>
      <c r="X742" s="1965"/>
      <c r="Y742" s="1965"/>
      <c r="Z742" s="1965"/>
      <c r="AA742" s="1965"/>
      <c r="AB742" s="1965"/>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1965"/>
      <c r="F743" s="1965"/>
      <c r="G743" s="1965"/>
      <c r="H743" s="1965"/>
      <c r="I743" s="1965"/>
      <c r="J743" s="1965"/>
      <c r="K743" s="1965"/>
      <c r="L743" s="1965"/>
      <c r="M743" s="1965"/>
      <c r="N743" s="1965"/>
      <c r="O743" s="1965"/>
      <c r="P743" s="1965"/>
      <c r="Q743" s="1965"/>
      <c r="R743" s="1965"/>
      <c r="S743" s="1965"/>
      <c r="T743" s="1965"/>
      <c r="U743" s="1965"/>
      <c r="V743" s="1965"/>
      <c r="W743" s="1965"/>
      <c r="X743" s="1965"/>
      <c r="Y743" s="1965"/>
      <c r="Z743" s="1965"/>
      <c r="AA743" s="1965"/>
      <c r="AB743" s="1965"/>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1965"/>
      <c r="F744" s="1965"/>
      <c r="G744" s="1965"/>
      <c r="H744" s="1965"/>
      <c r="I744" s="1965"/>
      <c r="J744" s="1965"/>
      <c r="K744" s="1965"/>
      <c r="L744" s="1965"/>
      <c r="M744" s="1965"/>
      <c r="N744" s="1965"/>
      <c r="O744" s="1965"/>
      <c r="P744" s="1965"/>
      <c r="Q744" s="1965"/>
      <c r="R744" s="1965"/>
      <c r="S744" s="1965"/>
      <c r="T744" s="1965"/>
      <c r="U744" s="1965"/>
      <c r="V744" s="1965"/>
      <c r="W744" s="1965"/>
      <c r="X744" s="1965"/>
      <c r="Y744" s="1965"/>
      <c r="Z744" s="1965"/>
      <c r="AA744" s="1965"/>
      <c r="AB744" s="1965"/>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1965" t="s">
        <v>1443</v>
      </c>
      <c r="F746" s="1965"/>
      <c r="G746" s="1965"/>
      <c r="H746" s="1965"/>
      <c r="I746" s="1965"/>
      <c r="J746" s="1965"/>
      <c r="K746" s="1965"/>
      <c r="L746" s="1965"/>
      <c r="M746" s="1965"/>
      <c r="N746" s="1965"/>
      <c r="O746" s="1965"/>
      <c r="P746" s="1965"/>
      <c r="Q746" s="1965"/>
      <c r="R746" s="1965"/>
      <c r="S746" s="1965"/>
      <c r="T746" s="1965"/>
      <c r="U746" s="1965"/>
      <c r="V746" s="1965"/>
      <c r="W746" s="1965"/>
      <c r="X746" s="1965"/>
      <c r="Y746" s="1965"/>
      <c r="Z746" s="1965"/>
      <c r="AA746" s="1965"/>
      <c r="AB746" s="576"/>
      <c r="AC746" s="537"/>
      <c r="AD746" s="537"/>
      <c r="AE746" s="537"/>
      <c r="AF746" s="2065" t="s">
        <v>1408</v>
      </c>
      <c r="AG746" s="2065"/>
      <c r="AH746" s="2065"/>
      <c r="AI746" s="2065"/>
      <c r="AJ746" s="2065"/>
      <c r="AK746" s="2065"/>
      <c r="AL746" s="2065"/>
      <c r="AM746" s="551"/>
      <c r="AN746" s="685"/>
      <c r="AO746" s="30"/>
      <c r="AP746" s="14"/>
    </row>
    <row r="747" spans="1:81" s="571" customFormat="1">
      <c r="A747" s="551"/>
      <c r="B747" s="537"/>
      <c r="C747" s="932"/>
      <c r="D747" s="664"/>
      <c r="E747" s="1965"/>
      <c r="F747" s="1965"/>
      <c r="G747" s="1965"/>
      <c r="H747" s="1965"/>
      <c r="I747" s="1965"/>
      <c r="J747" s="1965"/>
      <c r="K747" s="1965"/>
      <c r="L747" s="1965"/>
      <c r="M747" s="1965"/>
      <c r="N747" s="1965"/>
      <c r="O747" s="1965"/>
      <c r="P747" s="1965"/>
      <c r="Q747" s="1965"/>
      <c r="R747" s="1965"/>
      <c r="S747" s="1965"/>
      <c r="T747" s="1965"/>
      <c r="U747" s="1965"/>
      <c r="V747" s="1965"/>
      <c r="W747" s="1965"/>
      <c r="X747" s="1965"/>
      <c r="Y747" s="1965"/>
      <c r="Z747" s="1965"/>
      <c r="AA747" s="1965"/>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1965"/>
      <c r="F748" s="1965"/>
      <c r="G748" s="1965"/>
      <c r="H748" s="1965"/>
      <c r="I748" s="1965"/>
      <c r="J748" s="1965"/>
      <c r="K748" s="1965"/>
      <c r="L748" s="1965"/>
      <c r="M748" s="1965"/>
      <c r="N748" s="1965"/>
      <c r="O748" s="1965"/>
      <c r="P748" s="1965"/>
      <c r="Q748" s="1965"/>
      <c r="R748" s="1965"/>
      <c r="S748" s="1965"/>
      <c r="T748" s="1965"/>
      <c r="U748" s="1965"/>
      <c r="V748" s="1965"/>
      <c r="W748" s="1965"/>
      <c r="X748" s="1965"/>
      <c r="Y748" s="1965"/>
      <c r="Z748" s="1965"/>
      <c r="AA748" s="1965"/>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1965"/>
      <c r="F749" s="1965"/>
      <c r="G749" s="1965"/>
      <c r="H749" s="1965"/>
      <c r="I749" s="1965"/>
      <c r="J749" s="1965"/>
      <c r="K749" s="1965"/>
      <c r="L749" s="1965"/>
      <c r="M749" s="1965"/>
      <c r="N749" s="1965"/>
      <c r="O749" s="1965"/>
      <c r="P749" s="1965"/>
      <c r="Q749" s="1965"/>
      <c r="R749" s="1965"/>
      <c r="S749" s="1965"/>
      <c r="T749" s="1965"/>
      <c r="U749" s="1965"/>
      <c r="V749" s="1965"/>
      <c r="W749" s="1965"/>
      <c r="X749" s="1965"/>
      <c r="Y749" s="1965"/>
      <c r="Z749" s="1965"/>
      <c r="AA749" s="1965"/>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1989" t="s">
        <v>509</v>
      </c>
      <c r="I751" s="1989"/>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1972">
        <f>VLOOKUP($H$751,$AO$680:$AP$682,2,FALSE)</f>
        <v>2</v>
      </c>
      <c r="AK753" s="1974"/>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1965" t="s">
        <v>1445</v>
      </c>
      <c r="F757" s="1965"/>
      <c r="G757" s="1965"/>
      <c r="H757" s="1965"/>
      <c r="I757" s="1965"/>
      <c r="J757" s="1965"/>
      <c r="K757" s="1965"/>
      <c r="L757" s="1965"/>
      <c r="M757" s="1965"/>
      <c r="N757" s="1965"/>
      <c r="O757" s="1965"/>
      <c r="P757" s="1965"/>
      <c r="Q757" s="1965"/>
      <c r="R757" s="1965"/>
      <c r="S757" s="1965"/>
      <c r="T757" s="1965"/>
      <c r="U757" s="1965"/>
      <c r="V757" s="1965"/>
      <c r="W757" s="1965"/>
      <c r="X757" s="1965"/>
      <c r="Y757" s="1965"/>
      <c r="Z757" s="1965"/>
      <c r="AA757" s="1965"/>
      <c r="AB757" s="1965"/>
      <c r="AC757" s="537"/>
      <c r="AD757" s="537"/>
      <c r="AE757" s="537"/>
      <c r="AF757" s="2065" t="s">
        <v>1408</v>
      </c>
      <c r="AG757" s="2065"/>
      <c r="AH757" s="2065"/>
      <c r="AI757" s="2065"/>
      <c r="AJ757" s="2065"/>
      <c r="AK757" s="2065"/>
      <c r="AL757" s="2065"/>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1965"/>
      <c r="F758" s="1965"/>
      <c r="G758" s="1965"/>
      <c r="H758" s="1965"/>
      <c r="I758" s="1965"/>
      <c r="J758" s="1965"/>
      <c r="K758" s="1965"/>
      <c r="L758" s="1965"/>
      <c r="M758" s="1965"/>
      <c r="N758" s="1965"/>
      <c r="O758" s="1965"/>
      <c r="P758" s="1965"/>
      <c r="Q758" s="1965"/>
      <c r="R758" s="1965"/>
      <c r="S758" s="1965"/>
      <c r="T758" s="1965"/>
      <c r="U758" s="1965"/>
      <c r="V758" s="1965"/>
      <c r="W758" s="1965"/>
      <c r="X758" s="1965"/>
      <c r="Y758" s="1965"/>
      <c r="Z758" s="1965"/>
      <c r="AA758" s="1965"/>
      <c r="AB758" s="1965"/>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1965" t="s">
        <v>1446</v>
      </c>
      <c r="F760" s="1965"/>
      <c r="G760" s="1965"/>
      <c r="H760" s="1965"/>
      <c r="I760" s="1965"/>
      <c r="J760" s="1965"/>
      <c r="K760" s="1965"/>
      <c r="L760" s="1965"/>
      <c r="M760" s="1965"/>
      <c r="N760" s="1965"/>
      <c r="O760" s="1965"/>
      <c r="P760" s="1965"/>
      <c r="Q760" s="1965"/>
      <c r="R760" s="1965"/>
      <c r="S760" s="1965"/>
      <c r="T760" s="1965"/>
      <c r="U760" s="1965"/>
      <c r="V760" s="1965"/>
      <c r="W760" s="1965"/>
      <c r="X760" s="1965"/>
      <c r="Y760" s="1965"/>
      <c r="Z760" s="1965"/>
      <c r="AA760" s="1965"/>
      <c r="AB760" s="1965"/>
      <c r="AC760" s="537"/>
      <c r="AD760" s="537"/>
      <c r="AE760" s="537"/>
      <c r="AF760" s="2065" t="s">
        <v>1425</v>
      </c>
      <c r="AG760" s="2065"/>
      <c r="AH760" s="2065"/>
      <c r="AI760" s="2065"/>
      <c r="AJ760" s="2065"/>
      <c r="AK760" s="2065"/>
      <c r="AL760" s="2065"/>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1965"/>
      <c r="F761" s="1965"/>
      <c r="G761" s="1965"/>
      <c r="H761" s="1965"/>
      <c r="I761" s="1965"/>
      <c r="J761" s="1965"/>
      <c r="K761" s="1965"/>
      <c r="L761" s="1965"/>
      <c r="M761" s="1965"/>
      <c r="N761" s="1965"/>
      <c r="O761" s="1965"/>
      <c r="P761" s="1965"/>
      <c r="Q761" s="1965"/>
      <c r="R761" s="1965"/>
      <c r="S761" s="1965"/>
      <c r="T761" s="1965"/>
      <c r="U761" s="1965"/>
      <c r="V761" s="1965"/>
      <c r="W761" s="1965"/>
      <c r="X761" s="1965"/>
      <c r="Y761" s="1965"/>
      <c r="Z761" s="1965"/>
      <c r="AA761" s="1965"/>
      <c r="AB761" s="1965"/>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1989" t="s">
        <v>687</v>
      </c>
      <c r="I763" s="1989"/>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1972">
        <f>VLOOKUP($H$763,$AO$697:$AP$699,2,FALSE)</f>
        <v>2</v>
      </c>
      <c r="AK765" s="1974"/>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8" customHeight="1">
      <c r="A769" s="551"/>
      <c r="B769" s="617"/>
      <c r="C769" s="941"/>
      <c r="D769" s="664" t="s">
        <v>687</v>
      </c>
      <c r="E769" s="1965" t="s">
        <v>1692</v>
      </c>
      <c r="F769" s="1965"/>
      <c r="G769" s="1965"/>
      <c r="H769" s="1965"/>
      <c r="I769" s="1965"/>
      <c r="J769" s="1965"/>
      <c r="K769" s="1965"/>
      <c r="L769" s="1965"/>
      <c r="M769" s="1965"/>
      <c r="N769" s="1965"/>
      <c r="O769" s="1965"/>
      <c r="P769" s="1965"/>
      <c r="Q769" s="1965"/>
      <c r="R769" s="1965"/>
      <c r="S769" s="1965"/>
      <c r="T769" s="1965"/>
      <c r="U769" s="1965"/>
      <c r="V769" s="1965"/>
      <c r="W769" s="1965"/>
      <c r="X769" s="1965"/>
      <c r="Y769" s="1965"/>
      <c r="Z769" s="1965"/>
      <c r="AA769" s="1965"/>
      <c r="AB769" s="1965"/>
      <c r="AC769" s="1965"/>
      <c r="AD769" s="1965"/>
      <c r="AE769" s="537"/>
      <c r="AF769" s="2065" t="s">
        <v>1408</v>
      </c>
      <c r="AG769" s="2065"/>
      <c r="AH769" s="2065"/>
      <c r="AI769" s="2065"/>
      <c r="AJ769" s="2065"/>
      <c r="AK769" s="2065"/>
      <c r="AL769" s="2065"/>
      <c r="AM769" s="614"/>
      <c r="AN769" s="685"/>
      <c r="AO769" s="551" t="s">
        <v>591</v>
      </c>
      <c r="AP769" s="674">
        <v>0</v>
      </c>
    </row>
    <row r="770" spans="1:81" s="571" customFormat="1" ht="13.8" customHeight="1">
      <c r="A770" s="551"/>
      <c r="B770" s="617"/>
      <c r="C770" s="941"/>
      <c r="D770" s="664"/>
      <c r="E770" s="1965"/>
      <c r="F770" s="1965"/>
      <c r="G770" s="1965"/>
      <c r="H770" s="1965"/>
      <c r="I770" s="1965"/>
      <c r="J770" s="1965"/>
      <c r="K770" s="1965"/>
      <c r="L770" s="1965"/>
      <c r="M770" s="1965"/>
      <c r="N770" s="1965"/>
      <c r="O770" s="1965"/>
      <c r="P770" s="1965"/>
      <c r="Q770" s="1965"/>
      <c r="R770" s="1965"/>
      <c r="S770" s="1965"/>
      <c r="T770" s="1965"/>
      <c r="U770" s="1965"/>
      <c r="V770" s="1965"/>
      <c r="W770" s="1965"/>
      <c r="X770" s="1965"/>
      <c r="Y770" s="1965"/>
      <c r="Z770" s="1965"/>
      <c r="AA770" s="1965"/>
      <c r="AB770" s="1965"/>
      <c r="AC770" s="1965"/>
      <c r="AD770" s="1965"/>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1965"/>
      <c r="F771" s="1965"/>
      <c r="G771" s="1965"/>
      <c r="H771" s="1965"/>
      <c r="I771" s="1965"/>
      <c r="J771" s="1965"/>
      <c r="K771" s="1965"/>
      <c r="L771" s="1965"/>
      <c r="M771" s="1965"/>
      <c r="N771" s="1965"/>
      <c r="O771" s="1965"/>
      <c r="P771" s="1965"/>
      <c r="Q771" s="1965"/>
      <c r="R771" s="1965"/>
      <c r="S771" s="1965"/>
      <c r="T771" s="1965"/>
      <c r="U771" s="1965"/>
      <c r="V771" s="1965"/>
      <c r="W771" s="1965"/>
      <c r="X771" s="1965"/>
      <c r="Y771" s="1965"/>
      <c r="Z771" s="1965"/>
      <c r="AA771" s="1965"/>
      <c r="AB771" s="1965"/>
      <c r="AC771" s="1965"/>
      <c r="AD771" s="1965"/>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1965"/>
      <c r="F772" s="1965"/>
      <c r="G772" s="1965"/>
      <c r="H772" s="1965"/>
      <c r="I772" s="1965"/>
      <c r="J772" s="1965"/>
      <c r="K772" s="1965"/>
      <c r="L772" s="1965"/>
      <c r="M772" s="1965"/>
      <c r="N772" s="1965"/>
      <c r="O772" s="1965"/>
      <c r="P772" s="1965"/>
      <c r="Q772" s="1965"/>
      <c r="R772" s="1965"/>
      <c r="S772" s="1965"/>
      <c r="T772" s="1965"/>
      <c r="U772" s="1965"/>
      <c r="V772" s="1965"/>
      <c r="W772" s="1965"/>
      <c r="X772" s="1965"/>
      <c r="Y772" s="1965"/>
      <c r="Z772" s="1965"/>
      <c r="AA772" s="1965"/>
      <c r="AB772" s="1965"/>
      <c r="AC772" s="1965"/>
      <c r="AD772" s="1965"/>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076" t="s">
        <v>1697</v>
      </c>
      <c r="F774" s="2076"/>
      <c r="G774" s="2076"/>
      <c r="H774" s="2076"/>
      <c r="I774" s="2076"/>
      <c r="J774" s="2076"/>
      <c r="K774" s="2076"/>
      <c r="L774" s="2076"/>
      <c r="M774" s="2076"/>
      <c r="N774" s="2076"/>
      <c r="O774" s="2076"/>
      <c r="P774" s="2076"/>
      <c r="Q774" s="2076"/>
      <c r="R774" s="2076"/>
      <c r="S774" s="2076"/>
      <c r="T774" s="2076"/>
      <c r="U774" s="2076"/>
      <c r="V774" s="2076"/>
      <c r="W774" s="2076"/>
      <c r="X774" s="2076"/>
      <c r="Y774" s="2076"/>
      <c r="Z774" s="2076"/>
      <c r="AA774" s="2076"/>
      <c r="AB774" s="2076"/>
      <c r="AC774" s="2076"/>
      <c r="AD774" s="2076"/>
      <c r="AE774" s="537"/>
      <c r="AF774" s="2065" t="s">
        <v>1352</v>
      </c>
      <c r="AG774" s="2065"/>
      <c r="AH774" s="2065"/>
      <c r="AI774" s="2065"/>
      <c r="AJ774" s="2065"/>
      <c r="AK774" s="2065"/>
      <c r="AL774" s="2065"/>
      <c r="AM774" s="614"/>
      <c r="AN774" s="598"/>
    </row>
    <row r="775" spans="1:81" s="551" customFormat="1" ht="12.75" customHeight="1">
      <c r="B775" s="617"/>
      <c r="C775" s="941"/>
      <c r="D775" s="664"/>
      <c r="E775" s="2076"/>
      <c r="F775" s="2076"/>
      <c r="G775" s="2076"/>
      <c r="H775" s="2076"/>
      <c r="I775" s="2076"/>
      <c r="J775" s="2076"/>
      <c r="K775" s="2076"/>
      <c r="L775" s="2076"/>
      <c r="M775" s="2076"/>
      <c r="N775" s="2076"/>
      <c r="O775" s="2076"/>
      <c r="P775" s="2076"/>
      <c r="Q775" s="2076"/>
      <c r="R775" s="2076"/>
      <c r="S775" s="2076"/>
      <c r="T775" s="2076"/>
      <c r="U775" s="2076"/>
      <c r="V775" s="2076"/>
      <c r="W775" s="2076"/>
      <c r="X775" s="2076"/>
      <c r="Y775" s="2076"/>
      <c r="Z775" s="2076"/>
      <c r="AA775" s="2076"/>
      <c r="AB775" s="2076"/>
      <c r="AC775" s="2076"/>
      <c r="AD775" s="2076"/>
      <c r="AE775" s="595"/>
      <c r="AF775" s="595"/>
      <c r="AG775" s="595"/>
      <c r="AH775" s="595"/>
      <c r="AI775" s="595"/>
      <c r="AJ775" s="595"/>
      <c r="AK775" s="595"/>
      <c r="AL775" s="595"/>
      <c r="AM775" s="614"/>
      <c r="AN775" s="598"/>
    </row>
    <row r="776" spans="1:81" s="551" customFormat="1" ht="12.75" customHeight="1">
      <c r="B776" s="617"/>
      <c r="C776" s="941"/>
      <c r="D776" s="664"/>
      <c r="E776" s="2076"/>
      <c r="F776" s="2076"/>
      <c r="G776" s="2076"/>
      <c r="H776" s="2076"/>
      <c r="I776" s="2076"/>
      <c r="J776" s="2076"/>
      <c r="K776" s="2076"/>
      <c r="L776" s="2076"/>
      <c r="M776" s="2076"/>
      <c r="N776" s="2076"/>
      <c r="O776" s="2076"/>
      <c r="P776" s="2076"/>
      <c r="Q776" s="2076"/>
      <c r="R776" s="2076"/>
      <c r="S776" s="2076"/>
      <c r="T776" s="2076"/>
      <c r="U776" s="2076"/>
      <c r="V776" s="2076"/>
      <c r="W776" s="2076"/>
      <c r="X776" s="2076"/>
      <c r="Y776" s="2076"/>
      <c r="Z776" s="2076"/>
      <c r="AA776" s="2076"/>
      <c r="AB776" s="2076"/>
      <c r="AC776" s="2076"/>
      <c r="AD776" s="2076"/>
      <c r="AE776" s="595"/>
      <c r="AF776" s="595"/>
      <c r="AG776" s="595"/>
      <c r="AH776" s="595"/>
      <c r="AI776" s="595"/>
      <c r="AJ776" s="595"/>
      <c r="AK776" s="595"/>
      <c r="AL776" s="595"/>
      <c r="AM776" s="614"/>
      <c r="AN776" s="598"/>
    </row>
    <row r="777" spans="1:81" s="551" customFormat="1" ht="12.75" customHeight="1">
      <c r="B777" s="617"/>
      <c r="C777" s="941"/>
      <c r="D777" s="664"/>
      <c r="E777" s="2076"/>
      <c r="F777" s="2076"/>
      <c r="G777" s="2076"/>
      <c r="H777" s="2076"/>
      <c r="I777" s="2076"/>
      <c r="J777" s="2076"/>
      <c r="K777" s="2076"/>
      <c r="L777" s="2076"/>
      <c r="M777" s="2076"/>
      <c r="N777" s="2076"/>
      <c r="O777" s="2076"/>
      <c r="P777" s="2076"/>
      <c r="Q777" s="2076"/>
      <c r="R777" s="2076"/>
      <c r="S777" s="2076"/>
      <c r="T777" s="2076"/>
      <c r="U777" s="2076"/>
      <c r="V777" s="2076"/>
      <c r="W777" s="2076"/>
      <c r="X777" s="2076"/>
      <c r="Y777" s="2076"/>
      <c r="Z777" s="2076"/>
      <c r="AA777" s="2076"/>
      <c r="AB777" s="2076"/>
      <c r="AC777" s="2076"/>
      <c r="AD777" s="2076"/>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1989" t="s">
        <v>591</v>
      </c>
      <c r="I779" s="1989"/>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1972">
        <f>VLOOKUP($H$779,$AO$769:$AP$771,2,FALSE)</f>
        <v>0</v>
      </c>
      <c r="AK781" s="1974"/>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8" customHeight="1">
      <c r="A785" s="551"/>
      <c r="B785" s="617"/>
      <c r="C785" s="941"/>
      <c r="D785" s="664" t="s">
        <v>687</v>
      </c>
      <c r="E785" s="1965" t="s">
        <v>2034</v>
      </c>
      <c r="F785" s="1965"/>
      <c r="G785" s="1965"/>
      <c r="H785" s="1965"/>
      <c r="I785" s="1965"/>
      <c r="J785" s="1965"/>
      <c r="K785" s="1965"/>
      <c r="L785" s="1965"/>
      <c r="M785" s="1965"/>
      <c r="N785" s="1965"/>
      <c r="O785" s="1965"/>
      <c r="P785" s="1965"/>
      <c r="Q785" s="1965"/>
      <c r="R785" s="1965"/>
      <c r="S785" s="1965"/>
      <c r="T785" s="1965"/>
      <c r="U785" s="1965"/>
      <c r="V785" s="1965"/>
      <c r="W785" s="1965"/>
      <c r="X785" s="1965"/>
      <c r="Y785" s="1965"/>
      <c r="Z785" s="1965"/>
      <c r="AA785" s="1965"/>
      <c r="AB785" s="1965"/>
      <c r="AC785" s="1965"/>
      <c r="AD785" s="1965"/>
      <c r="AE785" s="537"/>
      <c r="AF785" s="2065" t="s">
        <v>1352</v>
      </c>
      <c r="AG785" s="2065"/>
      <c r="AH785" s="2065"/>
      <c r="AI785" s="2065"/>
      <c r="AJ785" s="2065"/>
      <c r="AK785" s="2065"/>
      <c r="AL785" s="2065"/>
      <c r="AM785" s="614"/>
      <c r="AN785" s="685"/>
      <c r="AO785" s="612" t="s">
        <v>545</v>
      </c>
      <c r="AP785" s="551">
        <v>3</v>
      </c>
      <c r="AT785" s="675"/>
      <c r="AU785" s="675"/>
      <c r="AV785" s="675"/>
      <c r="AW785" s="675"/>
      <c r="AX785" s="675"/>
      <c r="AY785" s="675"/>
      <c r="AZ785" s="675"/>
    </row>
    <row r="786" spans="1:81" s="571" customFormat="1" ht="13.8" customHeight="1">
      <c r="A786" s="551"/>
      <c r="B786" s="617"/>
      <c r="C786" s="941"/>
      <c r="D786" s="664"/>
      <c r="E786" s="1965"/>
      <c r="F786" s="1965"/>
      <c r="G786" s="1965"/>
      <c r="H786" s="1965"/>
      <c r="I786" s="1965"/>
      <c r="J786" s="1965"/>
      <c r="K786" s="1965"/>
      <c r="L786" s="1965"/>
      <c r="M786" s="1965"/>
      <c r="N786" s="1965"/>
      <c r="O786" s="1965"/>
      <c r="P786" s="1965"/>
      <c r="Q786" s="1965"/>
      <c r="R786" s="1965"/>
      <c r="S786" s="1965"/>
      <c r="T786" s="1965"/>
      <c r="U786" s="1965"/>
      <c r="V786" s="1965"/>
      <c r="W786" s="1965"/>
      <c r="X786" s="1965"/>
      <c r="Y786" s="1965"/>
      <c r="Z786" s="1965"/>
      <c r="AA786" s="1965"/>
      <c r="AB786" s="1965"/>
      <c r="AC786" s="1965"/>
      <c r="AD786" s="1965"/>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1965"/>
      <c r="F787" s="1965"/>
      <c r="G787" s="1965"/>
      <c r="H787" s="1965"/>
      <c r="I787" s="1965"/>
      <c r="J787" s="1965"/>
      <c r="K787" s="1965"/>
      <c r="L787" s="1965"/>
      <c r="M787" s="1965"/>
      <c r="N787" s="1965"/>
      <c r="O787" s="1965"/>
      <c r="P787" s="1965"/>
      <c r="Q787" s="1965"/>
      <c r="R787" s="1965"/>
      <c r="S787" s="1965"/>
      <c r="T787" s="1965"/>
      <c r="U787" s="1965"/>
      <c r="V787" s="1965"/>
      <c r="W787" s="1965"/>
      <c r="X787" s="1965"/>
      <c r="Y787" s="1965"/>
      <c r="Z787" s="1965"/>
      <c r="AA787" s="1965"/>
      <c r="AB787" s="1965"/>
      <c r="AC787" s="1965"/>
      <c r="AD787" s="1965"/>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1965"/>
      <c r="F788" s="1965"/>
      <c r="G788" s="1965"/>
      <c r="H788" s="1965"/>
      <c r="I788" s="1965"/>
      <c r="J788" s="1965"/>
      <c r="K788" s="1965"/>
      <c r="L788" s="1965"/>
      <c r="M788" s="1965"/>
      <c r="N788" s="1965"/>
      <c r="O788" s="1965"/>
      <c r="P788" s="1965"/>
      <c r="Q788" s="1965"/>
      <c r="R788" s="1965"/>
      <c r="S788" s="1965"/>
      <c r="T788" s="1965"/>
      <c r="U788" s="1965"/>
      <c r="V788" s="1965"/>
      <c r="W788" s="1965"/>
      <c r="X788" s="1965"/>
      <c r="Y788" s="1965"/>
      <c r="Z788" s="1965"/>
      <c r="AA788" s="1965"/>
      <c r="AB788" s="1965"/>
      <c r="AC788" s="1965"/>
      <c r="AD788" s="1965"/>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1989" t="s">
        <v>591</v>
      </c>
      <c r="I790" s="1989"/>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1972">
        <f>VLOOKUP($H$790,$AO$784:$AP$785,2,FALSE)</f>
        <v>0</v>
      </c>
      <c r="AK792" s="1974"/>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1972">
        <f>IF(($AJ$621+$AJ$640+$AJ$652+$AJ$687+$AJ$711+$AJ$725+$AJ$737+$AJ$753+$AJ$765+$AJ$781+AJ792)&gt;10,10,($AJ$621+$AJ$640+$AJ$652+$AJ$687+$AJ$711+$AJ$725+$AJ$737+$AJ$753+$AJ$765+$AJ$781+AJ792))</f>
        <v>10</v>
      </c>
      <c r="AL794" s="1973"/>
      <c r="AM794" s="1974"/>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056" t="s">
        <v>1568</v>
      </c>
      <c r="B797" s="2057"/>
      <c r="C797" s="2057"/>
      <c r="D797" s="2057"/>
      <c r="E797" s="2057"/>
      <c r="F797" s="2057"/>
      <c r="G797" s="2057"/>
      <c r="H797" s="2057"/>
      <c r="I797" s="2057"/>
      <c r="J797" s="2057"/>
      <c r="K797" s="2057"/>
      <c r="L797" s="2057"/>
      <c r="M797" s="2057"/>
      <c r="N797" s="2057"/>
      <c r="O797" s="2057"/>
      <c r="P797" s="2057"/>
      <c r="Q797" s="2057"/>
      <c r="R797" s="2057"/>
      <c r="S797" s="2057"/>
      <c r="T797" s="2057"/>
      <c r="U797" s="2057"/>
      <c r="V797" s="2057"/>
      <c r="W797" s="2057"/>
      <c r="X797" s="2057"/>
      <c r="Y797" s="2057"/>
      <c r="Z797" s="2057"/>
      <c r="AA797" s="2057"/>
      <c r="AB797" s="2057"/>
      <c r="AC797" s="2057"/>
      <c r="AD797" s="2057"/>
      <c r="AE797" s="2057"/>
      <c r="AF797" s="2057"/>
      <c r="AG797" s="2057"/>
      <c r="AH797" s="2057"/>
      <c r="AI797" s="2057"/>
      <c r="AJ797" s="2057"/>
      <c r="AK797" s="2057"/>
      <c r="AL797" s="2057"/>
      <c r="AM797" s="2057"/>
    </row>
    <row r="798" spans="1:81">
      <c r="A798" s="2058"/>
      <c r="B798" s="2058"/>
      <c r="C798" s="2058"/>
      <c r="D798" s="2058"/>
      <c r="E798" s="2058"/>
      <c r="F798" s="2058"/>
      <c r="G798" s="2058"/>
      <c r="H798" s="2058"/>
      <c r="I798" s="2058"/>
      <c r="J798" s="2058"/>
      <c r="K798" s="2058"/>
      <c r="L798" s="2058"/>
      <c r="M798" s="2058"/>
      <c r="N798" s="2058"/>
      <c r="O798" s="2058"/>
      <c r="P798" s="2058"/>
      <c r="Q798" s="2058"/>
      <c r="R798" s="2058"/>
      <c r="S798" s="2058"/>
      <c r="T798" s="2058"/>
      <c r="U798" s="2058"/>
      <c r="V798" s="2058"/>
      <c r="W798" s="2058"/>
      <c r="X798" s="2058"/>
      <c r="Y798" s="2058"/>
      <c r="Z798" s="2058"/>
      <c r="AA798" s="2058"/>
      <c r="AB798" s="2058"/>
      <c r="AC798" s="2058"/>
      <c r="AD798" s="2058"/>
      <c r="AE798" s="2058"/>
      <c r="AF798" s="2058"/>
      <c r="AG798" s="2058"/>
      <c r="AH798" s="2058"/>
      <c r="AI798" s="2058"/>
      <c r="AJ798" s="2058"/>
      <c r="AK798" s="2058"/>
      <c r="AL798" s="2058"/>
      <c r="AM798" s="2058"/>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1987"/>
      <c r="B800" s="1987"/>
      <c r="C800" s="1987"/>
      <c r="D800" s="1987"/>
      <c r="E800" s="1987"/>
      <c r="F800" s="1987"/>
      <c r="G800" s="1987"/>
      <c r="H800" s="1987"/>
      <c r="I800" s="1987"/>
      <c r="J800" s="1987"/>
      <c r="K800" s="1987"/>
      <c r="L800" s="1987"/>
      <c r="M800" s="1987"/>
      <c r="N800" s="1987"/>
      <c r="O800" s="1987"/>
      <c r="P800" s="1987"/>
      <c r="Q800" s="1987"/>
      <c r="R800" s="1987"/>
      <c r="S800" s="1987"/>
      <c r="T800" s="1987"/>
      <c r="U800" s="1987"/>
      <c r="V800" s="1987"/>
      <c r="W800" s="1987"/>
      <c r="X800" s="1987"/>
      <c r="Y800" s="1987"/>
      <c r="Z800" s="1987"/>
      <c r="AA800" s="1987"/>
      <c r="AB800" s="1987"/>
      <c r="AC800" s="1987"/>
      <c r="AD800" s="1987"/>
      <c r="AE800" s="1987"/>
      <c r="AF800" s="1987"/>
      <c r="AG800" s="1987"/>
      <c r="AH800" s="1987"/>
      <c r="AI800" s="1987"/>
      <c r="AJ800" s="1987"/>
      <c r="AK800" s="1987"/>
      <c r="AL800" s="1987"/>
      <c r="AM800" s="1987"/>
      <c r="AP800" s="817"/>
      <c r="AQ800" s="817"/>
    </row>
    <row r="801" spans="1:81">
      <c r="A801" s="1987"/>
      <c r="B801" s="1987"/>
      <c r="C801" s="1987"/>
      <c r="D801" s="1987"/>
      <c r="E801" s="1987"/>
      <c r="F801" s="1987"/>
      <c r="G801" s="1987"/>
      <c r="H801" s="1987"/>
      <c r="I801" s="1987"/>
      <c r="J801" s="1987"/>
      <c r="K801" s="1987"/>
      <c r="L801" s="1987"/>
      <c r="M801" s="1987"/>
      <c r="N801" s="1987"/>
      <c r="O801" s="1987"/>
      <c r="P801" s="1987"/>
      <c r="Q801" s="1987"/>
      <c r="R801" s="1987"/>
      <c r="S801" s="1987"/>
      <c r="T801" s="1987"/>
      <c r="U801" s="1987"/>
      <c r="V801" s="1987"/>
      <c r="W801" s="1987"/>
      <c r="X801" s="1987"/>
      <c r="Y801" s="1987"/>
      <c r="Z801" s="1987"/>
      <c r="AA801" s="1987"/>
      <c r="AB801" s="1987"/>
      <c r="AC801" s="1987"/>
      <c r="AD801" s="1987"/>
      <c r="AE801" s="1987"/>
      <c r="AF801" s="1987"/>
      <c r="AG801" s="1987"/>
      <c r="AH801" s="1987"/>
      <c r="AI801" s="1987"/>
      <c r="AJ801" s="1987"/>
      <c r="AK801" s="1987"/>
      <c r="AL801" s="1987"/>
      <c r="AM801" s="1987"/>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059" t="s">
        <v>1569</v>
      </c>
      <c r="U802" s="2060"/>
      <c r="V802" s="2060"/>
      <c r="W802" s="2060"/>
      <c r="X802" s="2060"/>
      <c r="Y802" s="2061"/>
      <c r="Z802" s="2059" t="s">
        <v>1570</v>
      </c>
      <c r="AA802" s="2060"/>
      <c r="AB802" s="2060"/>
      <c r="AC802" s="2060"/>
      <c r="AD802" s="2060"/>
      <c r="AE802" s="2061"/>
      <c r="AF802" s="2059" t="s">
        <v>1571</v>
      </c>
      <c r="AG802" s="2060"/>
      <c r="AH802" s="2060"/>
      <c r="AI802" s="2060"/>
      <c r="AJ802" s="2060"/>
      <c r="AK802" s="2061"/>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062"/>
      <c r="U803" s="2063"/>
      <c r="V803" s="2063"/>
      <c r="W803" s="2063"/>
      <c r="X803" s="2063"/>
      <c r="Y803" s="2064"/>
      <c r="Z803" s="2062"/>
      <c r="AA803" s="2063"/>
      <c r="AB803" s="2063"/>
      <c r="AC803" s="2063"/>
      <c r="AD803" s="2063"/>
      <c r="AE803" s="2064"/>
      <c r="AF803" s="2062"/>
      <c r="AG803" s="2063"/>
      <c r="AH803" s="2063"/>
      <c r="AI803" s="2063"/>
      <c r="AJ803" s="2063"/>
      <c r="AK803" s="2064"/>
      <c r="AL803" s="819"/>
      <c r="AM803" s="597"/>
      <c r="AO803" s="817"/>
      <c r="AP803" s="817"/>
      <c r="AQ803" s="817"/>
    </row>
    <row r="804" spans="1:81">
      <c r="A804" s="820" t="s">
        <v>757</v>
      </c>
      <c r="B804" s="2016" t="s">
        <v>1304</v>
      </c>
      <c r="C804" s="2016"/>
      <c r="D804" s="2016"/>
      <c r="E804" s="2016"/>
      <c r="F804" s="2016"/>
      <c r="G804" s="2016"/>
      <c r="H804" s="2016"/>
      <c r="I804" s="2016"/>
      <c r="J804" s="2016"/>
      <c r="K804" s="2016"/>
      <c r="L804" s="2016"/>
      <c r="M804" s="2016"/>
      <c r="N804" s="2016"/>
      <c r="O804" s="2016"/>
      <c r="P804" s="2016"/>
      <c r="Q804" s="2016"/>
      <c r="R804" s="2016"/>
      <c r="S804" s="2017"/>
      <c r="T804" s="2044">
        <f>AK62</f>
        <v>14</v>
      </c>
      <c r="U804" s="2020"/>
      <c r="V804" s="2020"/>
      <c r="W804" s="2020"/>
      <c r="X804" s="2020"/>
      <c r="Y804" s="2021"/>
      <c r="Z804" s="2019">
        <v>20</v>
      </c>
      <c r="AA804" s="2020"/>
      <c r="AB804" s="2020"/>
      <c r="AC804" s="2020"/>
      <c r="AD804" s="2020"/>
      <c r="AE804" s="2021"/>
      <c r="AF804" s="1984">
        <f>IF(T804&gt;Z804,Z804,T804)</f>
        <v>14</v>
      </c>
      <c r="AG804" s="1984"/>
      <c r="AH804" s="1984"/>
      <c r="AI804" s="1984"/>
      <c r="AJ804" s="1984"/>
      <c r="AK804" s="1984"/>
      <c r="AL804" s="819"/>
      <c r="AM804" s="597"/>
      <c r="AO804" s="817"/>
      <c r="AP804" s="817"/>
      <c r="AQ804" s="817"/>
    </row>
    <row r="805" spans="1:81">
      <c r="A805" s="820" t="s">
        <v>1541</v>
      </c>
      <c r="B805" s="2016" t="s">
        <v>1313</v>
      </c>
      <c r="C805" s="2016"/>
      <c r="D805" s="2016"/>
      <c r="E805" s="2016"/>
      <c r="F805" s="2016"/>
      <c r="G805" s="2016"/>
      <c r="H805" s="2016"/>
      <c r="I805" s="2016"/>
      <c r="J805" s="2016"/>
      <c r="K805" s="2016"/>
      <c r="L805" s="2016"/>
      <c r="M805" s="2016"/>
      <c r="N805" s="2016"/>
      <c r="O805" s="2016"/>
      <c r="P805" s="2016"/>
      <c r="Q805" s="2016"/>
      <c r="R805" s="2016"/>
      <c r="S805" s="2017"/>
      <c r="T805" s="2044">
        <f>AK84</f>
        <v>0</v>
      </c>
      <c r="U805" s="2020"/>
      <c r="V805" s="2020"/>
      <c r="W805" s="2020"/>
      <c r="X805" s="2020"/>
      <c r="Y805" s="2021"/>
      <c r="Z805" s="2019">
        <v>10</v>
      </c>
      <c r="AA805" s="2020"/>
      <c r="AB805" s="2020"/>
      <c r="AC805" s="2020"/>
      <c r="AD805" s="2020"/>
      <c r="AE805" s="2021"/>
      <c r="AF805" s="1984">
        <f>IF(T805&gt;Z805,Z805,T805)</f>
        <v>0</v>
      </c>
      <c r="AG805" s="1984"/>
      <c r="AH805" s="1984"/>
      <c r="AI805" s="1984"/>
      <c r="AJ805" s="1984"/>
      <c r="AK805" s="1984"/>
      <c r="AL805" s="819"/>
      <c r="AM805" s="597"/>
      <c r="AO805" s="817"/>
      <c r="AP805" s="817"/>
      <c r="AQ805" s="817"/>
    </row>
    <row r="806" spans="1:81">
      <c r="A806" s="820" t="s">
        <v>1550</v>
      </c>
      <c r="B806" s="2016" t="s">
        <v>1323</v>
      </c>
      <c r="C806" s="2016"/>
      <c r="D806" s="2016"/>
      <c r="E806" s="2016"/>
      <c r="F806" s="2016"/>
      <c r="G806" s="2016"/>
      <c r="H806" s="2016"/>
      <c r="I806" s="2016"/>
      <c r="J806" s="2016"/>
      <c r="K806" s="2016"/>
      <c r="L806" s="2016"/>
      <c r="M806" s="2016"/>
      <c r="N806" s="2016"/>
      <c r="O806" s="2016"/>
      <c r="P806" s="2016"/>
      <c r="Q806" s="2016"/>
      <c r="R806" s="2016"/>
      <c r="S806" s="2017"/>
      <c r="T806" s="2044">
        <f>AK109</f>
        <v>19.999999999999996</v>
      </c>
      <c r="U806" s="2020"/>
      <c r="V806" s="2020"/>
      <c r="W806" s="2020"/>
      <c r="X806" s="2020"/>
      <c r="Y806" s="2021"/>
      <c r="Z806" s="2019">
        <v>20</v>
      </c>
      <c r="AA806" s="2020"/>
      <c r="AB806" s="2020"/>
      <c r="AC806" s="2020"/>
      <c r="AD806" s="2020"/>
      <c r="AE806" s="2021"/>
      <c r="AF806" s="1984">
        <f>IF(T806&gt;Z806,Z806,T806)</f>
        <v>19.999999999999996</v>
      </c>
      <c r="AG806" s="1984"/>
      <c r="AH806" s="1984"/>
      <c r="AI806" s="1984"/>
      <c r="AJ806" s="1984"/>
      <c r="AK806" s="1984"/>
      <c r="AL806" s="819"/>
      <c r="AM806" s="597"/>
      <c r="AO806" s="817"/>
      <c r="AP806" s="817"/>
      <c r="AQ806" s="817"/>
    </row>
    <row r="807" spans="1:81">
      <c r="A807" s="820" t="s">
        <v>1572</v>
      </c>
      <c r="B807" s="2016" t="s">
        <v>1333</v>
      </c>
      <c r="C807" s="2016"/>
      <c r="D807" s="2016"/>
      <c r="E807" s="2016"/>
      <c r="F807" s="2016"/>
      <c r="G807" s="2016"/>
      <c r="H807" s="2016"/>
      <c r="I807" s="2016"/>
      <c r="J807" s="2016"/>
      <c r="K807" s="2016"/>
      <c r="L807" s="2016"/>
      <c r="M807" s="2016"/>
      <c r="N807" s="2016"/>
      <c r="O807" s="2016"/>
      <c r="P807" s="2016"/>
      <c r="Q807" s="2016"/>
      <c r="R807" s="2016"/>
      <c r="S807" s="2017"/>
      <c r="T807" s="2044">
        <f>AK143</f>
        <v>10</v>
      </c>
      <c r="U807" s="2020"/>
      <c r="V807" s="2020"/>
      <c r="W807" s="2020"/>
      <c r="X807" s="2020"/>
      <c r="Y807" s="2021"/>
      <c r="Z807" s="2019">
        <v>10</v>
      </c>
      <c r="AA807" s="2020"/>
      <c r="AB807" s="2020"/>
      <c r="AC807" s="2020"/>
      <c r="AD807" s="2020"/>
      <c r="AE807" s="2021"/>
      <c r="AF807" s="1984">
        <f>IF(T807&gt;Z807,Z807,T807)</f>
        <v>10</v>
      </c>
      <c r="AG807" s="1984"/>
      <c r="AH807" s="1984"/>
      <c r="AI807" s="1984"/>
      <c r="AJ807" s="1984"/>
      <c r="AK807" s="1984"/>
      <c r="AL807" s="819"/>
      <c r="AM807" s="597"/>
      <c r="AO807" s="817"/>
      <c r="AP807" s="817"/>
      <c r="AQ807" s="817"/>
    </row>
    <row r="808" spans="1:81">
      <c r="A808" s="821" t="s">
        <v>1573</v>
      </c>
      <c r="B808" s="2016" t="s">
        <v>1574</v>
      </c>
      <c r="C808" s="2016"/>
      <c r="D808" s="2016"/>
      <c r="E808" s="2016"/>
      <c r="F808" s="2016"/>
      <c r="G808" s="2016"/>
      <c r="H808" s="2016"/>
      <c r="I808" s="2016"/>
      <c r="J808" s="2016"/>
      <c r="K808" s="2016"/>
      <c r="L808" s="2016"/>
      <c r="M808" s="2016"/>
      <c r="N808" s="2016"/>
      <c r="O808" s="2016"/>
      <c r="P808" s="2016"/>
      <c r="Q808" s="2016"/>
      <c r="R808" s="2016"/>
      <c r="S808" s="2017"/>
      <c r="T808" s="2018">
        <f>SUM(T809:Y810)</f>
        <v>10</v>
      </c>
      <c r="U808" s="2018"/>
      <c r="V808" s="2018"/>
      <c r="W808" s="2018"/>
      <c r="X808" s="2018"/>
      <c r="Y808" s="2018"/>
      <c r="Z808" s="1984">
        <v>10</v>
      </c>
      <c r="AA808" s="1984"/>
      <c r="AB808" s="1984"/>
      <c r="AC808" s="1984"/>
      <c r="AD808" s="1984"/>
      <c r="AE808" s="1984"/>
      <c r="AF808" s="1984">
        <f>IF(T808&gt;Z808,Z808,T808)</f>
        <v>10</v>
      </c>
      <c r="AG808" s="1984"/>
      <c r="AH808" s="1984"/>
      <c r="AI808" s="1984"/>
      <c r="AJ808" s="1984"/>
      <c r="AK808" s="1984"/>
      <c r="AL808" s="819"/>
      <c r="AM808" s="597"/>
    </row>
    <row r="809" spans="1:81">
      <c r="A809" s="536"/>
      <c r="B809" s="602"/>
      <c r="C809" s="2022" t="s">
        <v>1575</v>
      </c>
      <c r="D809" s="2022"/>
      <c r="E809" s="2022"/>
      <c r="F809" s="2022"/>
      <c r="G809" s="2022"/>
      <c r="H809" s="2022"/>
      <c r="I809" s="2022"/>
      <c r="J809" s="2022"/>
      <c r="K809" s="2022"/>
      <c r="L809" s="2022"/>
      <c r="M809" s="2022"/>
      <c r="N809" s="2022"/>
      <c r="O809" s="2022"/>
      <c r="P809" s="2022"/>
      <c r="Q809" s="2022"/>
      <c r="R809" s="2022"/>
      <c r="S809" s="2023"/>
      <c r="T809" s="2024">
        <f>AJ166</f>
        <v>7</v>
      </c>
      <c r="U809" s="2024"/>
      <c r="V809" s="2024"/>
      <c r="W809" s="2024"/>
      <c r="X809" s="2024"/>
      <c r="Y809" s="2024"/>
      <c r="Z809" s="2025">
        <v>7</v>
      </c>
      <c r="AA809" s="2025"/>
      <c r="AB809" s="2025"/>
      <c r="AC809" s="2025"/>
      <c r="AD809" s="2025"/>
      <c r="AE809" s="2025"/>
      <c r="AF809" s="2026"/>
      <c r="AG809" s="2026"/>
      <c r="AH809" s="2026"/>
      <c r="AI809" s="2026"/>
      <c r="AJ809" s="2026"/>
      <c r="AK809" s="2026"/>
      <c r="AL809" s="819"/>
      <c r="AM809" s="597"/>
    </row>
    <row r="810" spans="1:81">
      <c r="A810" s="601"/>
      <c r="B810" s="602"/>
      <c r="C810" s="2022" t="s">
        <v>1576</v>
      </c>
      <c r="D810" s="2022"/>
      <c r="E810" s="2022"/>
      <c r="F810" s="2022"/>
      <c r="G810" s="2022"/>
      <c r="H810" s="2022"/>
      <c r="I810" s="2022"/>
      <c r="J810" s="2022"/>
      <c r="K810" s="2022"/>
      <c r="L810" s="2022"/>
      <c r="M810" s="2022"/>
      <c r="N810" s="2022"/>
      <c r="O810" s="2022"/>
      <c r="P810" s="2022"/>
      <c r="Q810" s="2022"/>
      <c r="R810" s="2022"/>
      <c r="S810" s="2023"/>
      <c r="T810" s="2024">
        <f>AJ180</f>
        <v>3</v>
      </c>
      <c r="U810" s="2024"/>
      <c r="V810" s="2024"/>
      <c r="W810" s="2024"/>
      <c r="X810" s="2024"/>
      <c r="Y810" s="2024"/>
      <c r="Z810" s="2025">
        <v>3</v>
      </c>
      <c r="AA810" s="2025"/>
      <c r="AB810" s="2025"/>
      <c r="AC810" s="2025"/>
      <c r="AD810" s="2025"/>
      <c r="AE810" s="2025"/>
      <c r="AF810" s="2026"/>
      <c r="AG810" s="2026"/>
      <c r="AH810" s="2026"/>
      <c r="AI810" s="2026"/>
      <c r="AJ810" s="2026"/>
      <c r="AK810" s="2026"/>
      <c r="AL810" s="819"/>
      <c r="AM810" s="597"/>
      <c r="AO810" s="551"/>
    </row>
    <row r="811" spans="1:81">
      <c r="A811" s="821" t="s">
        <v>1361</v>
      </c>
      <c r="B811" s="2016" t="s">
        <v>1577</v>
      </c>
      <c r="C811" s="2016"/>
      <c r="D811" s="2016"/>
      <c r="E811" s="2016"/>
      <c r="F811" s="2016"/>
      <c r="G811" s="2016"/>
      <c r="H811" s="2016"/>
      <c r="I811" s="2016"/>
      <c r="J811" s="2016"/>
      <c r="K811" s="2016"/>
      <c r="L811" s="2016"/>
      <c r="M811" s="2016"/>
      <c r="N811" s="2016"/>
      <c r="O811" s="2016"/>
      <c r="P811" s="2016"/>
      <c r="Q811" s="2016"/>
      <c r="R811" s="2016"/>
      <c r="S811" s="2017"/>
      <c r="T811" s="2018">
        <f>AK191</f>
        <v>0</v>
      </c>
      <c r="U811" s="2018"/>
      <c r="V811" s="2018"/>
      <c r="W811" s="2018"/>
      <c r="X811" s="2018"/>
      <c r="Y811" s="2018"/>
      <c r="Z811" s="1984">
        <v>10</v>
      </c>
      <c r="AA811" s="1984"/>
      <c r="AB811" s="1984"/>
      <c r="AC811" s="1984"/>
      <c r="AD811" s="1984"/>
      <c r="AE811" s="1984"/>
      <c r="AF811" s="1984">
        <f>IF(T811&gt;Z811,Z811,T811)</f>
        <v>0</v>
      </c>
      <c r="AG811" s="1984"/>
      <c r="AH811" s="1984"/>
      <c r="AI811" s="1984"/>
      <c r="AJ811" s="1984"/>
      <c r="AK811" s="1984"/>
      <c r="AL811" s="819"/>
      <c r="AM811" s="597"/>
    </row>
    <row r="812" spans="1:81">
      <c r="A812" s="820" t="s">
        <v>1370</v>
      </c>
      <c r="B812" s="2016" t="s">
        <v>1371</v>
      </c>
      <c r="C812" s="2016"/>
      <c r="D812" s="2016"/>
      <c r="E812" s="2016"/>
      <c r="F812" s="2016"/>
      <c r="G812" s="2016"/>
      <c r="H812" s="2016"/>
      <c r="I812" s="2016"/>
      <c r="J812" s="2016"/>
      <c r="K812" s="2016"/>
      <c r="L812" s="2016"/>
      <c r="M812" s="2016"/>
      <c r="N812" s="2016"/>
      <c r="O812" s="2016"/>
      <c r="P812" s="2016"/>
      <c r="Q812" s="2016"/>
      <c r="R812" s="2016"/>
      <c r="S812" s="2017"/>
      <c r="T812" s="2018">
        <f>AK273</f>
        <v>8</v>
      </c>
      <c r="U812" s="2018"/>
      <c r="V812" s="2018"/>
      <c r="W812" s="2018"/>
      <c r="X812" s="2018"/>
      <c r="Y812" s="2018"/>
      <c r="Z812" s="2019">
        <v>8</v>
      </c>
      <c r="AA812" s="2020"/>
      <c r="AB812" s="2020"/>
      <c r="AC812" s="2020"/>
      <c r="AD812" s="2020"/>
      <c r="AE812" s="2021"/>
      <c r="AF812" s="1984">
        <f>IF(T812&gt;Z812,Z812,T812)</f>
        <v>8</v>
      </c>
      <c r="AG812" s="1984"/>
      <c r="AH812" s="1984"/>
      <c r="AI812" s="1984"/>
      <c r="AJ812" s="1984"/>
      <c r="AK812" s="1984"/>
      <c r="AL812" s="819"/>
      <c r="AM812" s="597"/>
    </row>
    <row r="813" spans="1:81" s="535" customFormat="1" hidden="1">
      <c r="A813" s="821" t="s">
        <v>589</v>
      </c>
      <c r="B813" s="2016" t="s">
        <v>1578</v>
      </c>
      <c r="C813" s="2016"/>
      <c r="D813" s="2016"/>
      <c r="E813" s="2016"/>
      <c r="F813" s="2016"/>
      <c r="G813" s="2016"/>
      <c r="H813" s="2016"/>
      <c r="I813" s="2016"/>
      <c r="J813" s="2016"/>
      <c r="K813" s="2016"/>
      <c r="L813" s="2016"/>
      <c r="M813" s="2016"/>
      <c r="N813" s="2016"/>
      <c r="O813" s="2016"/>
      <c r="P813" s="2016"/>
      <c r="Q813" s="2016"/>
      <c r="R813" s="2016"/>
      <c r="S813" s="2017"/>
      <c r="T813" s="2018">
        <f>IF(AK535&gt;5,5,AK535)</f>
        <v>0</v>
      </c>
      <c r="U813" s="2018"/>
      <c r="V813" s="2018"/>
      <c r="W813" s="2018"/>
      <c r="X813" s="2018"/>
      <c r="Y813" s="2018"/>
      <c r="Z813" s="1984">
        <v>5</v>
      </c>
      <c r="AA813" s="1984"/>
      <c r="AB813" s="1984"/>
      <c r="AC813" s="1984"/>
      <c r="AD813" s="1984"/>
      <c r="AE813" s="1984"/>
      <c r="AF813" s="1984">
        <f>IF(T813&gt;Z813,5,T813)</f>
        <v>0</v>
      </c>
      <c r="AG813" s="1984"/>
      <c r="AH813" s="1984"/>
      <c r="AI813" s="1984"/>
      <c r="AJ813" s="1984"/>
      <c r="AK813" s="1984"/>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016" t="s">
        <v>1579</v>
      </c>
      <c r="C814" s="2016"/>
      <c r="D814" s="2016"/>
      <c r="E814" s="2016"/>
      <c r="F814" s="2016"/>
      <c r="G814" s="2016"/>
      <c r="H814" s="2016"/>
      <c r="I814" s="2016"/>
      <c r="J814" s="2016"/>
      <c r="K814" s="2016"/>
      <c r="L814" s="2016"/>
      <c r="M814" s="2016"/>
      <c r="N814" s="2016"/>
      <c r="O814" s="2016"/>
      <c r="P814" s="2016"/>
      <c r="Q814" s="2016"/>
      <c r="R814" s="2016"/>
      <c r="S814" s="2017"/>
      <c r="T814" s="2018">
        <f>AK285</f>
        <v>10</v>
      </c>
      <c r="U814" s="2018"/>
      <c r="V814" s="2018"/>
      <c r="W814" s="2018"/>
      <c r="X814" s="2018"/>
      <c r="Y814" s="2018"/>
      <c r="Z814" s="1984">
        <v>10</v>
      </c>
      <c r="AA814" s="1984"/>
      <c r="AB814" s="1984"/>
      <c r="AC814" s="1984"/>
      <c r="AD814" s="1984"/>
      <c r="AE814" s="1984"/>
      <c r="AF814" s="2027">
        <f>IF(T814&gt;Z814,Z814,T814)</f>
        <v>10</v>
      </c>
      <c r="AG814" s="2028"/>
      <c r="AH814" s="2028"/>
      <c r="AI814" s="2028"/>
      <c r="AJ814" s="2028"/>
      <c r="AK814" s="2029"/>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016" t="s">
        <v>1381</v>
      </c>
      <c r="C815" s="2016"/>
      <c r="D815" s="2016"/>
      <c r="E815" s="2016"/>
      <c r="F815" s="2016"/>
      <c r="G815" s="2016"/>
      <c r="H815" s="2016"/>
      <c r="I815" s="2016"/>
      <c r="J815" s="2016"/>
      <c r="K815" s="2016"/>
      <c r="L815" s="2016"/>
      <c r="M815" s="2016"/>
      <c r="N815" s="2016"/>
      <c r="O815" s="2016"/>
      <c r="P815" s="2016"/>
      <c r="Q815" s="2016"/>
      <c r="R815" s="2016"/>
      <c r="S815" s="2017"/>
      <c r="T815" s="2018">
        <f>AK338</f>
        <v>0</v>
      </c>
      <c r="U815" s="2018"/>
      <c r="V815" s="2018"/>
      <c r="W815" s="2018"/>
      <c r="X815" s="2018"/>
      <c r="Y815" s="2018"/>
      <c r="Z815" s="2027">
        <v>10</v>
      </c>
      <c r="AA815" s="2028"/>
      <c r="AB815" s="2028"/>
      <c r="AC815" s="2028"/>
      <c r="AD815" s="2028"/>
      <c r="AE815" s="2029"/>
      <c r="AF815" s="2027">
        <f>IF(T815&gt;Z815,Z815,T815)</f>
        <v>0</v>
      </c>
      <c r="AG815" s="2028"/>
      <c r="AH815" s="2028"/>
      <c r="AI815" s="2028"/>
      <c r="AJ815" s="2028"/>
      <c r="AK815" s="2029"/>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024">
        <f>AK338</f>
        <v>0</v>
      </c>
      <c r="U816" s="2024"/>
      <c r="V816" s="2024"/>
      <c r="W816" s="2024"/>
      <c r="X816" s="2024"/>
      <c r="Y816" s="2024"/>
      <c r="Z816" s="1972">
        <v>20</v>
      </c>
      <c r="AA816" s="1973"/>
      <c r="AB816" s="1973"/>
      <c r="AC816" s="1973"/>
      <c r="AD816" s="1973"/>
      <c r="AE816" s="1974"/>
      <c r="AF816" s="2026"/>
      <c r="AG816" s="2026"/>
      <c r="AH816" s="2026"/>
      <c r="AI816" s="2026"/>
      <c r="AJ816" s="2026"/>
      <c r="AK816" s="2026"/>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016" t="s">
        <v>845</v>
      </c>
      <c r="C817" s="2016"/>
      <c r="D817" s="2016"/>
      <c r="E817" s="2016"/>
      <c r="F817" s="2016"/>
      <c r="G817" s="2016"/>
      <c r="H817" s="2016"/>
      <c r="I817" s="2016"/>
      <c r="J817" s="2016"/>
      <c r="K817" s="2016"/>
      <c r="L817" s="2016"/>
      <c r="M817" s="2016"/>
      <c r="N817" s="2016"/>
      <c r="O817" s="2016"/>
      <c r="P817" s="2016"/>
      <c r="Q817" s="2016"/>
      <c r="R817" s="2016"/>
      <c r="S817" s="2017"/>
      <c r="T817" s="2018">
        <f>AK469</f>
        <v>10</v>
      </c>
      <c r="U817" s="2018"/>
      <c r="V817" s="2018"/>
      <c r="W817" s="2018"/>
      <c r="X817" s="2018"/>
      <c r="Y817" s="2018"/>
      <c r="Z817" s="2027">
        <v>10</v>
      </c>
      <c r="AA817" s="2028"/>
      <c r="AB817" s="2028"/>
      <c r="AC817" s="2028"/>
      <c r="AD817" s="2028"/>
      <c r="AE817" s="2029"/>
      <c r="AF817" s="1984">
        <f>IF(T817&gt;Z817,Z817,T817)</f>
        <v>10</v>
      </c>
      <c r="AG817" s="1984"/>
      <c r="AH817" s="1984"/>
      <c r="AI817" s="1984"/>
      <c r="AJ817" s="1984"/>
      <c r="AK817" s="1984"/>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016" t="s">
        <v>1559</v>
      </c>
      <c r="C818" s="2016"/>
      <c r="D818" s="2016"/>
      <c r="E818" s="2016"/>
      <c r="F818" s="2016"/>
      <c r="G818" s="2016"/>
      <c r="H818" s="2016"/>
      <c r="I818" s="2016"/>
      <c r="J818" s="2016"/>
      <c r="K818" s="2016"/>
      <c r="L818" s="2016"/>
      <c r="M818" s="2016"/>
      <c r="N818" s="2016"/>
      <c r="O818" s="2016"/>
      <c r="P818" s="2016"/>
      <c r="Q818" s="2016"/>
      <c r="R818" s="2016"/>
      <c r="S818" s="2017"/>
      <c r="T818" s="2018">
        <f>AK559</f>
        <v>12</v>
      </c>
      <c r="U818" s="2018"/>
      <c r="V818" s="2018"/>
      <c r="W818" s="2018"/>
      <c r="X818" s="2018"/>
      <c r="Y818" s="2018"/>
      <c r="Z818" s="2027">
        <v>12</v>
      </c>
      <c r="AA818" s="2028"/>
      <c r="AB818" s="2028"/>
      <c r="AC818" s="2028"/>
      <c r="AD818" s="2028"/>
      <c r="AE818" s="2029"/>
      <c r="AF818" s="1984">
        <f>IF(T818&gt;Z818,Z818,T818)</f>
        <v>12</v>
      </c>
      <c r="AG818" s="1984"/>
      <c r="AH818" s="1984"/>
      <c r="AI818" s="1984"/>
      <c r="AJ818" s="1984"/>
      <c r="AK818" s="1984"/>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016" t="s">
        <v>1581</v>
      </c>
      <c r="C819" s="2016"/>
      <c r="D819" s="2016"/>
      <c r="E819" s="2016"/>
      <c r="F819" s="2016"/>
      <c r="G819" s="2016"/>
      <c r="H819" s="2016"/>
      <c r="I819" s="2016"/>
      <c r="J819" s="2016"/>
      <c r="K819" s="2016"/>
      <c r="L819" s="2016"/>
      <c r="M819" s="2016"/>
      <c r="N819" s="2016"/>
      <c r="O819" s="2016"/>
      <c r="P819" s="2016"/>
      <c r="Q819" s="2016"/>
      <c r="R819" s="2016"/>
      <c r="S819" s="2017"/>
      <c r="T819" s="2018">
        <f>AK794</f>
        <v>10</v>
      </c>
      <c r="U819" s="2018"/>
      <c r="V819" s="2018"/>
      <c r="W819" s="2018"/>
      <c r="X819" s="2018"/>
      <c r="Y819" s="2018"/>
      <c r="Z819" s="2027">
        <v>10</v>
      </c>
      <c r="AA819" s="2028"/>
      <c r="AB819" s="2028"/>
      <c r="AC819" s="2028"/>
      <c r="AD819" s="2028"/>
      <c r="AE819" s="2029"/>
      <c r="AF819" s="1984">
        <f>IF(T819&gt;Z819,Z819,T819)</f>
        <v>10</v>
      </c>
      <c r="AG819" s="1984"/>
      <c r="AH819" s="1984"/>
      <c r="AI819" s="1984"/>
      <c r="AJ819" s="1984"/>
      <c r="AK819" s="1984"/>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030" t="s">
        <v>1582</v>
      </c>
      <c r="B820" s="2016"/>
      <c r="C820" s="2016"/>
      <c r="D820" s="2016"/>
      <c r="E820" s="2016"/>
      <c r="F820" s="2016"/>
      <c r="G820" s="2016"/>
      <c r="H820" s="2016"/>
      <c r="I820" s="2016"/>
      <c r="J820" s="2016"/>
      <c r="K820" s="2016"/>
      <c r="L820" s="2016"/>
      <c r="M820" s="2016"/>
      <c r="N820" s="2016"/>
      <c r="O820" s="2016"/>
      <c r="P820" s="2016"/>
      <c r="Q820" s="2016"/>
      <c r="R820" s="2016"/>
      <c r="S820" s="2017"/>
      <c r="T820" s="2031"/>
      <c r="U820" s="2031"/>
      <c r="V820" s="2031"/>
      <c r="W820" s="2031"/>
      <c r="X820" s="2031"/>
      <c r="Y820" s="2031"/>
      <c r="Z820" s="2025" t="s">
        <v>1583</v>
      </c>
      <c r="AA820" s="2025"/>
      <c r="AB820" s="2025"/>
      <c r="AC820" s="2025"/>
      <c r="AD820" s="2025"/>
      <c r="AE820" s="2025"/>
      <c r="AF820" s="2027">
        <f>IF(T820&gt;0,T820,0)</f>
        <v>0</v>
      </c>
      <c r="AG820" s="2028"/>
      <c r="AH820" s="2028"/>
      <c r="AI820" s="2028"/>
      <c r="AJ820" s="2028"/>
      <c r="AK820" s="2029"/>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032" t="s">
        <v>1584</v>
      </c>
      <c r="B821" s="2033"/>
      <c r="C821" s="2033"/>
      <c r="D821" s="2033"/>
      <c r="E821" s="2033"/>
      <c r="F821" s="2033"/>
      <c r="G821" s="2033"/>
      <c r="H821" s="2033"/>
      <c r="I821" s="2033"/>
      <c r="J821" s="2033"/>
      <c r="K821" s="2033"/>
      <c r="L821" s="2033"/>
      <c r="M821" s="2033"/>
      <c r="N821" s="2033"/>
      <c r="O821" s="2033"/>
      <c r="P821" s="2033"/>
      <c r="Q821" s="2033"/>
      <c r="R821" s="2033"/>
      <c r="S821" s="2033"/>
      <c r="T821" s="2033"/>
      <c r="U821" s="2033"/>
      <c r="V821" s="2033"/>
      <c r="W821" s="2033"/>
      <c r="X821" s="2033"/>
      <c r="Y821" s="2033"/>
      <c r="Z821" s="2033"/>
      <c r="AA821" s="2033"/>
      <c r="AB821" s="2033"/>
      <c r="AC821" s="2033"/>
      <c r="AD821" s="2033"/>
      <c r="AE821" s="2034"/>
      <c r="AF821" s="2038">
        <f>SUM(AF804:AK819)-AF820</f>
        <v>104</v>
      </c>
      <c r="AG821" s="2039"/>
      <c r="AH821" s="2039"/>
      <c r="AI821" s="2039"/>
      <c r="AJ821" s="2039"/>
      <c r="AK821" s="2040"/>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035"/>
      <c r="B822" s="2036"/>
      <c r="C822" s="2036"/>
      <c r="D822" s="2036"/>
      <c r="E822" s="2036"/>
      <c r="F822" s="2036"/>
      <c r="G822" s="2036"/>
      <c r="H822" s="2036"/>
      <c r="I822" s="2036"/>
      <c r="J822" s="2036"/>
      <c r="K822" s="2036"/>
      <c r="L822" s="2036"/>
      <c r="M822" s="2036"/>
      <c r="N822" s="2036"/>
      <c r="O822" s="2036"/>
      <c r="P822" s="2036"/>
      <c r="Q822" s="2036"/>
      <c r="R822" s="2036"/>
      <c r="S822" s="2036"/>
      <c r="T822" s="2036"/>
      <c r="U822" s="2036"/>
      <c r="V822" s="2036"/>
      <c r="W822" s="2036"/>
      <c r="X822" s="2036"/>
      <c r="Y822" s="2036"/>
      <c r="Z822" s="2036"/>
      <c r="AA822" s="2036"/>
      <c r="AB822" s="2036"/>
      <c r="AC822" s="2036"/>
      <c r="AD822" s="2036"/>
      <c r="AE822" s="2037"/>
      <c r="AF822" s="2041"/>
      <c r="AG822" s="2042"/>
      <c r="AH822" s="2042"/>
      <c r="AI822" s="2042"/>
      <c r="AJ822" s="2042"/>
      <c r="AK822" s="2043"/>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WBltudeHyyQtWCn7/8SXRpC0qnLvIlcumfwS15eR+XsuxyC4NLC2YK+wbVyHO51awOWYQWQrHjKJzOQW1ZZbw==" saltValue="gmdZS5laHE85y4SX7X0wyg=="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 workbookViewId="0">
      <selection activeCell="O21" sqref="O21"/>
    </sheetView>
  </sheetViews>
  <sheetFormatPr defaultColWidth="9.21875" defaultRowHeight="13.8"/>
  <cols>
    <col min="1" max="1" width="2.44140625" style="1045" customWidth="1"/>
    <col min="2" max="9" width="14.77734375" style="1045" customWidth="1"/>
    <col min="10" max="10" width="2.21875" style="1045" customWidth="1"/>
    <col min="11" max="11" width="11.77734375" style="1046" customWidth="1"/>
    <col min="12" max="12" width="10.77734375" style="1045" customWidth="1"/>
    <col min="13" max="13" width="10.44140625" style="1045" customWidth="1"/>
    <col min="14" max="14" width="10.77734375" style="1045" customWidth="1"/>
    <col min="15" max="18" width="9.21875" style="1045"/>
    <col min="19" max="19" width="9.44140625" style="1045" bestFit="1" customWidth="1"/>
    <col min="20" max="16384" width="9.21875" style="1045"/>
  </cols>
  <sheetData>
    <row r="1" spans="1:13" ht="30" customHeight="1">
      <c r="A1" s="2213" t="s">
        <v>1585</v>
      </c>
      <c r="B1" s="2213"/>
      <c r="C1" s="2213"/>
      <c r="D1" s="2213"/>
      <c r="E1" s="2213"/>
      <c r="F1" s="2213"/>
      <c r="G1" s="2213"/>
      <c r="H1" s="2213"/>
      <c r="I1" s="2213"/>
      <c r="J1" s="2213"/>
    </row>
    <row r="2" spans="1:13" ht="15" customHeight="1" thickBot="1">
      <c r="A2" s="1047"/>
      <c r="B2" s="1047"/>
      <c r="I2" s="1048"/>
      <c r="K2" s="1049"/>
    </row>
    <row r="3" spans="1:13" s="1052" customFormat="1" ht="20.100000000000001" customHeight="1">
      <c r="A3" s="1102"/>
      <c r="B3" s="1103"/>
      <c r="C3" s="1104"/>
      <c r="D3" s="1109"/>
      <c r="E3" s="1104"/>
      <c r="F3" s="1105" t="s">
        <v>1991</v>
      </c>
      <c r="G3" s="1104"/>
      <c r="H3" s="1106">
        <f>E18</f>
        <v>21147840</v>
      </c>
      <c r="I3" s="1107"/>
    </row>
    <row r="4" spans="1:13" s="1052" customFormat="1" ht="20.100000000000001" customHeight="1">
      <c r="B4" s="1096"/>
      <c r="D4" s="1110"/>
      <c r="F4" s="1094" t="s">
        <v>1993</v>
      </c>
      <c r="G4" s="1093" t="s">
        <v>1992</v>
      </c>
      <c r="H4" s="1095">
        <f>I18</f>
        <v>16808553.921568628</v>
      </c>
      <c r="I4" s="1097"/>
      <c r="K4" s="1056"/>
    </row>
    <row r="5" spans="1:13" s="1052" customFormat="1" ht="20.100000000000001" customHeight="1" thickBot="1">
      <c r="B5" s="1098"/>
      <c r="C5" s="1099"/>
      <c r="D5" s="1111"/>
      <c r="E5" s="1100"/>
      <c r="F5" s="1111" t="s">
        <v>1942</v>
      </c>
      <c r="G5" s="1112"/>
      <c r="H5" s="1108">
        <f>IFERROR(H3/H4,0)</f>
        <v>1.2581593930494657</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216" t="s">
        <v>1940</v>
      </c>
      <c r="C8" s="2217"/>
      <c r="D8" s="2217"/>
      <c r="E8" s="2218"/>
      <c r="G8" s="2193" t="s">
        <v>1941</v>
      </c>
      <c r="H8" s="2194"/>
      <c r="I8" s="2195"/>
      <c r="K8" s="1058"/>
    </row>
    <row r="9" spans="1:13" ht="15" customHeight="1">
      <c r="A9" s="1047"/>
      <c r="B9" s="2214" t="s">
        <v>1974</v>
      </c>
      <c r="C9" s="2214"/>
      <c r="D9" s="2214"/>
      <c r="E9" s="1060">
        <f>G33</f>
        <v>3150000</v>
      </c>
      <c r="G9" s="2206" t="s">
        <v>1972</v>
      </c>
      <c r="H9" s="2206"/>
      <c r="I9" s="1061">
        <f>Application!AM554</f>
        <v>21300000</v>
      </c>
      <c r="K9" s="1062"/>
      <c r="M9" s="1063"/>
    </row>
    <row r="10" spans="1:13" ht="15" customHeight="1" thickBot="1">
      <c r="A10" s="1047"/>
      <c r="B10" s="2214" t="s">
        <v>1975</v>
      </c>
      <c r="C10" s="2214"/>
      <c r="D10" s="2214"/>
      <c r="E10" s="1061">
        <f>G47</f>
        <v>13902840</v>
      </c>
      <c r="G10" s="2220" t="s">
        <v>1943</v>
      </c>
      <c r="H10" s="2220"/>
      <c r="I10" s="1142">
        <f>'Basis &amp; Credits'!AB78</f>
        <v>0</v>
      </c>
      <c r="M10" s="1063"/>
    </row>
    <row r="11" spans="1:13" ht="15" customHeight="1">
      <c r="A11" s="1047"/>
      <c r="B11" s="2207" t="s">
        <v>2266</v>
      </c>
      <c r="C11" s="2208"/>
      <c r="D11" s="2209"/>
      <c r="E11" s="1061">
        <f>SUM(E12,E13)</f>
        <v>0</v>
      </c>
      <c r="G11" s="2205" t="s">
        <v>1983</v>
      </c>
      <c r="H11" s="2205"/>
      <c r="I11" s="1141">
        <f>I9+I10</f>
        <v>21300000</v>
      </c>
      <c r="M11" s="1063"/>
    </row>
    <row r="12" spans="1:13" ht="15" customHeight="1">
      <c r="A12" s="1064"/>
      <c r="B12" s="2215" t="s">
        <v>2268</v>
      </c>
      <c r="C12" s="2215"/>
      <c r="D12" s="2215"/>
      <c r="E12" s="1167">
        <f>G56</f>
        <v>0</v>
      </c>
      <c r="M12" s="1063"/>
    </row>
    <row r="13" spans="1:13" ht="15" customHeight="1">
      <c r="A13" s="1050"/>
      <c r="B13" s="2215" t="s">
        <v>2269</v>
      </c>
      <c r="C13" s="2215"/>
      <c r="D13" s="2215"/>
      <c r="E13" s="1167">
        <f>G65</f>
        <v>0</v>
      </c>
      <c r="G13" s="2193" t="s">
        <v>2007</v>
      </c>
      <c r="H13" s="2194"/>
      <c r="I13" s="2195"/>
      <c r="M13" s="1063"/>
    </row>
    <row r="14" spans="1:13" ht="15" customHeight="1">
      <c r="A14" s="1050"/>
      <c r="B14" s="2207" t="s">
        <v>2267</v>
      </c>
      <c r="C14" s="2208"/>
      <c r="D14" s="2209"/>
      <c r="E14" s="1169">
        <f>MAX(E15,E16)+E17</f>
        <v>4095000</v>
      </c>
      <c r="G14" s="2206" t="s">
        <v>139</v>
      </c>
      <c r="H14" s="2206"/>
      <c r="I14" s="1065">
        <f>15%*(AND(G120="Yes",G122&lt;&gt;""))</f>
        <v>0.15</v>
      </c>
      <c r="M14" s="1063"/>
    </row>
    <row r="15" spans="1:13" ht="15" customHeight="1">
      <c r="A15" s="1050"/>
      <c r="B15" s="2190" t="s">
        <v>2273</v>
      </c>
      <c r="C15" s="2191"/>
      <c r="D15" s="2192"/>
      <c r="E15" s="1167">
        <f>G80</f>
        <v>0</v>
      </c>
      <c r="G15" s="1139" t="s">
        <v>1984</v>
      </c>
      <c r="H15" s="1139"/>
      <c r="I15" s="1065">
        <f>IF(Application!AJ1032&gt;0,10%,IF(Application!AJ1036&gt;0,5%,0))</f>
        <v>0</v>
      </c>
      <c r="M15" s="1063"/>
    </row>
    <row r="16" spans="1:13" ht="15" customHeight="1">
      <c r="A16" s="1050"/>
      <c r="B16" s="2190" t="s">
        <v>2272</v>
      </c>
      <c r="C16" s="2191"/>
      <c r="D16" s="2192"/>
      <c r="E16" s="1167">
        <f>G90</f>
        <v>0</v>
      </c>
      <c r="G16" s="2206" t="s">
        <v>1985</v>
      </c>
      <c r="H16" s="2206"/>
      <c r="I16" s="1065">
        <f>G132</f>
        <v>6.0866013071895424E-2</v>
      </c>
    </row>
    <row r="17" spans="1:21" ht="15" customHeight="1" thickBot="1">
      <c r="A17" s="1050"/>
      <c r="B17" s="2190" t="s">
        <v>2271</v>
      </c>
      <c r="C17" s="2191"/>
      <c r="D17" s="2192"/>
      <c r="E17" s="1167">
        <f>G115</f>
        <v>4095000</v>
      </c>
      <c r="G17" s="2206" t="s">
        <v>2281</v>
      </c>
      <c r="H17" s="2206"/>
      <c r="I17" s="1065">
        <f>IF(AND(G139="Yes",OR(G136,G137)),IF(G143&gt;15%,15%,G143),0)</f>
        <v>0</v>
      </c>
    </row>
    <row r="18" spans="1:21" ht="15" customHeight="1">
      <c r="A18" s="1047"/>
      <c r="B18" s="2219" t="s">
        <v>1939</v>
      </c>
      <c r="C18" s="2219"/>
      <c r="D18" s="2219"/>
      <c r="E18" s="1113">
        <f>SUM(E9:E11,E14)</f>
        <v>21147840</v>
      </c>
      <c r="G18" s="1140" t="s">
        <v>1973</v>
      </c>
      <c r="H18" s="1140"/>
      <c r="I18" s="1114">
        <f>I11-((I11*I14)+(I11*I15)+(I11*I16)+(I11*I17))</f>
        <v>16808553.921568628</v>
      </c>
      <c r="M18" s="1066">
        <f>SUM(Cdlac[Quantity])</f>
        <v>63</v>
      </c>
      <c r="O18" s="1086" t="s">
        <v>582</v>
      </c>
      <c r="P18" s="1045">
        <f>MATCH(Application!T189,Application!CB160:CB217,0)</f>
        <v>19</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10</v>
      </c>
      <c r="N20" s="1072">
        <f>Application!AC718</f>
        <v>0.35</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1</v>
      </c>
      <c r="M21" s="1066">
        <f>Application!G719</f>
        <v>43</v>
      </c>
      <c r="N21" s="1072">
        <f>Application!AC719</f>
        <v>0.5</v>
      </c>
      <c r="O21" s="1072">
        <f>IF(Cdlac[[#This Row],[Quantity]]&gt;0,IF(Cdlac[[#This Row],[Federal]],30%,IF(AND(OR(NOT($G$38),$G$38=""),$G$43),40%,Cdlac[[#This Row],[iAMI]])),"")</f>
        <v>0.3</v>
      </c>
      <c r="P21" s="1066" cm="1">
        <f t="array" ref="P21">IF(Cdlac[[#This Row],[Quantity]]&gt;0,INDEX(TcacRents,$P$18,Cdlac[[#This Row],[Bedrooms]]+1)*Cdlac[[#This Row],[AMI]],"")</f>
        <v>780</v>
      </c>
      <c r="Q21" s="1166"/>
      <c r="R21" s="1066" cm="1">
        <f t="array" ref="R21">IF(Cdlac[[#This Row],[Quantity]]&gt;0,INDEX(HudFmrs,$P$18,Cdlac[[#This Row],[Bedrooms]]+1),"")</f>
        <v>2006</v>
      </c>
      <c r="S21" s="1066">
        <f>IF(Cdlac[[#This Row],[Quantity]]&gt;0,MAX(0,Cdlac[[#This Row],[Fair Market Rent]]-IF(AND($G$37,$G$38,$G$38&lt;&gt;"",NOT(Cdlac[[#This Row],[Federal]]),Cdlac[[#This Row],[Preservation Rent]]&lt;&gt;""),Cdlac[[#This Row],[Preservation Rent]],Cdlac[[#This Row],[Restricted Rent]])),"")</f>
        <v>1226</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197" t="s">
        <v>1987</v>
      </c>
      <c r="D22" s="2197" t="s">
        <v>1988</v>
      </c>
      <c r="E22" s="2197" t="s">
        <v>1989</v>
      </c>
      <c r="F22" s="2197" t="s">
        <v>1990</v>
      </c>
      <c r="G22" s="2197" t="s">
        <v>1986</v>
      </c>
      <c r="H22" s="1071"/>
      <c r="I22" s="1070"/>
      <c r="L22" s="1045">
        <f>IFERROR(MIN(4,MATCH(Application!B720,UnitSizes,0)-1),"")</f>
        <v>1</v>
      </c>
      <c r="M22" s="1066">
        <f>Application!G720</f>
        <v>10</v>
      </c>
      <c r="N22" s="1072">
        <f>Application!AC720</f>
        <v>0.6</v>
      </c>
      <c r="O22" s="1072">
        <f>IF(Cdlac[[#This Row],[Quantity]]&gt;0,IF(Cdlac[[#This Row],[Federal]],30%,IF(AND(OR(NOT($G$38),$G$38=""),$G$43),40%,Cdlac[[#This Row],[iAMI]])),"")</f>
        <v>0.3</v>
      </c>
      <c r="P22" s="1066" cm="1">
        <f t="array" ref="P22">IF(Cdlac[[#This Row],[Quantity]]&gt;0,INDEX(TcacRents,$P$18,Cdlac[[#This Row],[Bedrooms]]+1)*Cdlac[[#This Row],[AMI]],"")</f>
        <v>780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1226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198"/>
      <c r="D23" s="2198"/>
      <c r="E23" s="2198"/>
      <c r="F23" s="2198"/>
      <c r="G23" s="2198"/>
      <c r="H23" s="1071"/>
      <c r="I23" s="1070"/>
      <c r="L23" s="1045" t="str">
        <f>IFERROR(MIN(4,MATCH(Application!B721,UnitSizes,0)-1),"")</f>
        <v/>
      </c>
      <c r="M23" s="1066">
        <f>Application!G721</f>
        <v>0</v>
      </c>
      <c r="N23" s="1072">
        <f>Application!AC721</f>
        <v>0</v>
      </c>
      <c r="O23" s="1072" t="str">
        <f>IF(Cdlac[[#This Row],[Quantity]]&gt;0,IF(Cdlac[[#This Row],[Federal]],30%,IF(AND(OR(NOT($G$38),$G$38=""),$G$43),40%,Cdlac[[#This Row],[iAMI]])),"")</f>
        <v/>
      </c>
      <c r="P23" s="1066" t="str" cm="1">
        <f t="array" ref="P23">IF(Cdlac[[#This Row],[Quantity]]&gt;0,INDEX(TcacRents,$P$18,Cdlac[[#This Row],[Bedrooms]]+1)*Cdlac[[#This Row],[AMI]],"")</f>
        <v/>
      </c>
      <c r="Q23" s="1166"/>
      <c r="R23" s="1066" t="str" cm="1">
        <f t="array" ref="R23">IF(Cdlac[[#This Row],[Quantity]]&gt;0,INDEX(HudFmrs,$P$18,Cdlac[[#This Row],[Bedrooms]]+1),"")</f>
        <v/>
      </c>
      <c r="S23" s="1066" t="str">
        <f>IF(Cdlac[[#This Row],[Quantity]]&gt;0,MAX(0,Cdlac[[#This Row],[Fair Market Rent]]-IF(AND($G$37,$G$38,$G$38&lt;&gt;"",NOT(Cdlac[[#This Row],[Federal]]),Cdlac[[#This Row],[Preservation Rent]]&lt;&gt;""),Cdlac[[#This Row],[Preservation Rent]],Cdlac[[#This Row],[Restricted Rent]])),"")</f>
        <v/>
      </c>
      <c r="T23" s="1045" t="str">
        <f>IF(Cdlac[[#This Row],[Quantity]]&gt;0,AND(Application!AK721&lt;&gt;"N/A",Application!AK721&lt;&gt;"")*Cdlac[[#This Row],[Quantity]],"")</f>
        <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63</v>
      </c>
      <c r="F25" s="1073">
        <f>E25</f>
        <v>63</v>
      </c>
      <c r="G25" s="1073">
        <f>D25*F25</f>
        <v>63</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199" t="s">
        <v>1586</v>
      </c>
      <c r="D29" s="2200"/>
      <c r="E29" s="1091">
        <f>SUM(E24:E28)</f>
        <v>63</v>
      </c>
      <c r="F29" s="1091">
        <f>SUM(F24:F28)</f>
        <v>63</v>
      </c>
      <c r="G29" s="1092">
        <f>SUMPRODUCT(D24:D28,F24:F28)</f>
        <v>63</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63</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3150000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1</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t="b">
        <v>1</v>
      </c>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202"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202"/>
      <c r="E39" s="2202"/>
      <c r="F39" s="2202"/>
      <c r="G39" s="2202"/>
      <c r="H39" s="2202"/>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202"/>
      <c r="D40" s="2202"/>
      <c r="E40" s="2202"/>
      <c r="F40" s="2202"/>
      <c r="G40" s="2202"/>
      <c r="H40" s="2202"/>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202"/>
      <c r="D41" s="2202"/>
      <c r="E41" s="2202"/>
      <c r="F41" s="2202"/>
      <c r="G41" s="2202"/>
      <c r="H41" s="2202"/>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77238</v>
      </c>
    </row>
    <row r="46" spans="1:21" ht="15" customHeight="1">
      <c r="E46" s="1119" t="s">
        <v>2006</v>
      </c>
      <c r="F46" s="1115" t="s">
        <v>1994</v>
      </c>
      <c r="G46" s="1123">
        <f>12*15</f>
        <v>180</v>
      </c>
    </row>
    <row r="47" spans="1:21" ht="15" customHeight="1">
      <c r="E47" s="1124" t="s">
        <v>1944</v>
      </c>
      <c r="F47" s="1047"/>
      <c r="G47" s="1125">
        <f>G45*G46</f>
        <v>13902840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31</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0</v>
      </c>
    </row>
    <row r="61" spans="2:9" ht="15" customHeight="1">
      <c r="E61" s="1119" t="s">
        <v>1996</v>
      </c>
      <c r="G61" s="1080">
        <f>ROUNDDOWN(E29*50%,0)</f>
        <v>31</v>
      </c>
    </row>
    <row r="62" spans="2:9" ht="15" customHeight="1">
      <c r="E62" s="1119"/>
      <c r="G62" s="1080"/>
    </row>
    <row r="63" spans="2:9" ht="15" customHeight="1">
      <c r="E63" s="1119" t="s">
        <v>1955</v>
      </c>
      <c r="G63" s="1116">
        <f>MIN(G60:G61)</f>
        <v>0</v>
      </c>
    </row>
    <row r="64" spans="2:9" ht="15" customHeight="1">
      <c r="E64" s="1119" t="s">
        <v>1945</v>
      </c>
      <c r="F64" s="1115" t="s">
        <v>1994</v>
      </c>
      <c r="G64" s="1126">
        <v>20000</v>
      </c>
    </row>
    <row r="65" spans="2:14" ht="15" customHeight="1">
      <c r="E65" s="1120" t="s">
        <v>1977</v>
      </c>
      <c r="F65" s="1047"/>
      <c r="G65" s="1125">
        <f>G63*G64</f>
        <v>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669</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Highest Resource</v>
      </c>
      <c r="L72" s="2210" t="s">
        <v>1970</v>
      </c>
      <c r="M72" s="2211"/>
      <c r="N72" s="1133">
        <v>30000</v>
      </c>
    </row>
    <row r="73" spans="2:14" ht="15" customHeight="1">
      <c r="C73" s="2212" t="s">
        <v>2265</v>
      </c>
      <c r="D73" s="2212"/>
      <c r="E73" s="2212"/>
      <c r="F73" s="2212"/>
      <c r="G73" s="1044" t="s">
        <v>669</v>
      </c>
      <c r="L73" s="2221" t="s">
        <v>1938</v>
      </c>
      <c r="M73" s="2222"/>
      <c r="N73" s="1134">
        <v>20000</v>
      </c>
    </row>
    <row r="74" spans="2:14" ht="15" customHeight="1" thickBot="1">
      <c r="C74" s="2212"/>
      <c r="D74" s="2212"/>
      <c r="E74" s="2212"/>
      <c r="F74" s="2212"/>
      <c r="L74" s="2223" t="s">
        <v>1971</v>
      </c>
      <c r="M74" s="2224"/>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63</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63</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63</v>
      </c>
    </row>
    <row r="97" spans="2:14" ht="15" customHeight="1">
      <c r="E97" s="1120" t="s">
        <v>1962</v>
      </c>
      <c r="F97" s="1047"/>
      <c r="G97" s="1125">
        <f>G94*G95*G96</f>
        <v>1764000</v>
      </c>
      <c r="L97" s="1129" t="str">
        <f>'Points System'!H638</f>
        <v>(i)</v>
      </c>
      <c r="M97" s="2229" t="s">
        <v>1405</v>
      </c>
      <c r="N97" s="2230"/>
    </row>
    <row r="98" spans="2:14" ht="15" customHeight="1">
      <c r="C98" s="1078"/>
      <c r="G98" s="1116"/>
      <c r="L98" s="1130" t="str">
        <f>'Points System'!H650</f>
        <v>(ii)</v>
      </c>
      <c r="M98" s="2225" t="s">
        <v>1957</v>
      </c>
      <c r="N98" s="2226"/>
    </row>
    <row r="99" spans="2:14" ht="15" customHeight="1">
      <c r="E99" s="1086" t="s">
        <v>1999</v>
      </c>
      <c r="G99" s="1128">
        <f>COUNTIFS(L97:L104,"(i)")</f>
        <v>3</v>
      </c>
      <c r="L99" s="1130" t="str">
        <f>'Points System'!H685</f>
        <v>(iii)</v>
      </c>
      <c r="M99" s="2225" t="s">
        <v>1958</v>
      </c>
      <c r="N99" s="2226"/>
    </row>
    <row r="100" spans="2:14" ht="15" customHeight="1">
      <c r="E100" s="1086" t="s">
        <v>1945</v>
      </c>
      <c r="F100" s="1115" t="s">
        <v>1994</v>
      </c>
      <c r="G100" s="1126">
        <v>4000</v>
      </c>
      <c r="L100" s="1130" t="str">
        <f>IF(OR('Points System'!H709="(ii)",'Points System'!H709="(i)"),"(i)","N/A")</f>
        <v>N/A</v>
      </c>
      <c r="M100" s="2225" t="s">
        <v>1959</v>
      </c>
      <c r="N100" s="2226"/>
    </row>
    <row r="101" spans="2:14" ht="15" customHeight="1">
      <c r="E101" s="1120" t="s">
        <v>1963</v>
      </c>
      <c r="F101" s="1047"/>
      <c r="G101" s="1125">
        <f>G96*G99*G100</f>
        <v>756000</v>
      </c>
      <c r="L101" s="1131" t="str">
        <f>'Points System'!H723</f>
        <v>(i)</v>
      </c>
      <c r="M101" s="2225" t="s">
        <v>1431</v>
      </c>
      <c r="N101" s="2226"/>
    </row>
    <row r="102" spans="2:14" ht="15" customHeight="1">
      <c r="L102" s="1130" t="str">
        <f>'Points System'!H735</f>
        <v>N/A</v>
      </c>
      <c r="M102" s="2225" t="s">
        <v>1960</v>
      </c>
      <c r="N102" s="2226"/>
    </row>
    <row r="103" spans="2:14" ht="15" customHeight="1">
      <c r="C103" s="1081" t="s">
        <v>1965</v>
      </c>
      <c r="L103" s="1130" t="str">
        <f>'Points System'!H751</f>
        <v>(ii)</v>
      </c>
      <c r="M103" s="2225" t="s">
        <v>1961</v>
      </c>
      <c r="N103" s="2226"/>
    </row>
    <row r="104" spans="2:14" ht="15" customHeight="1" thickBot="1">
      <c r="C104" s="1078" t="s">
        <v>1966</v>
      </c>
      <c r="G104" s="1044"/>
      <c r="L104" s="1132" t="str">
        <f>'Points System'!H763</f>
        <v>(i)</v>
      </c>
      <c r="M104" s="2227" t="s">
        <v>1434</v>
      </c>
      <c r="N104" s="2228"/>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63</v>
      </c>
    </row>
    <row r="112" spans="2:14" ht="15" customHeight="1">
      <c r="E112" s="1086" t="s">
        <v>1945</v>
      </c>
      <c r="F112" s="1115" t="s">
        <v>1994</v>
      </c>
      <c r="G112" s="1126">
        <v>25000</v>
      </c>
    </row>
    <row r="113" spans="2:9" ht="15" customHeight="1">
      <c r="E113" s="1120" t="s">
        <v>1964</v>
      </c>
      <c r="F113" s="1047"/>
      <c r="G113" s="1125">
        <f>G109*G112*G96</f>
        <v>1575000</v>
      </c>
    </row>
    <row r="114" spans="2:9" ht="15" customHeight="1">
      <c r="C114" s="1078"/>
      <c r="E114" s="1078"/>
    </row>
    <row r="115" spans="2:9" ht="15" customHeight="1">
      <c r="E115" s="1120" t="s">
        <v>2275</v>
      </c>
      <c r="G115" s="1125">
        <f>G113+G101+G97</f>
        <v>4095000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201" t="s">
        <v>2230</v>
      </c>
      <c r="D119" s="2201"/>
      <c r="E119" s="2201"/>
      <c r="F119" s="2201"/>
    </row>
    <row r="120" spans="2:9" ht="15" customHeight="1">
      <c r="C120" s="2201"/>
      <c r="D120" s="2201"/>
      <c r="E120" s="2201"/>
      <c r="F120" s="2201"/>
      <c r="G120" s="1044" t="s">
        <v>545</v>
      </c>
    </row>
    <row r="121" spans="2:9" ht="15" customHeight="1"/>
    <row r="122" spans="2:9" ht="15" customHeight="1">
      <c r="C122" s="1045" t="s">
        <v>2232</v>
      </c>
      <c r="G122" s="2203" t="s">
        <v>875</v>
      </c>
      <c r="H122" s="2203"/>
    </row>
    <row r="123" spans="2:9" ht="15" customHeight="1">
      <c r="G123" s="2203"/>
      <c r="H123" s="2203"/>
    </row>
    <row r="124" spans="2:9" ht="15" customHeight="1">
      <c r="G124" s="2204"/>
      <c r="H124" s="2204"/>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2002</v>
      </c>
      <c r="G131" s="1079">
        <f>MEDIAN((Application!CU160:CU217))</f>
        <v>489600</v>
      </c>
    </row>
    <row r="132" spans="2:9">
      <c r="D132" s="1047"/>
      <c r="E132" s="1120" t="s">
        <v>2004</v>
      </c>
      <c r="F132" s="1136"/>
      <c r="G132" s="1137">
        <f>((G130-G131)/G131)*0.25</f>
        <v>6.0866013071895424E-2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1</v>
      </c>
    </row>
    <row r="137" spans="2:9">
      <c r="E137" s="1086" t="s">
        <v>2277</v>
      </c>
      <c r="G137" s="1045" t="b">
        <f>OR('Points System'!B52="Yes", 'Points System'!B56="Yes",'Points System'!B58="Yes")</f>
        <v>0</v>
      </c>
    </row>
    <row r="138" spans="2:9">
      <c r="C138" s="2196" t="s">
        <v>2278</v>
      </c>
      <c r="D138" s="2196"/>
      <c r="E138" s="2196"/>
      <c r="F138" s="2196"/>
    </row>
    <row r="139" spans="2:9">
      <c r="B139" s="1046"/>
      <c r="C139" s="2196"/>
      <c r="D139" s="2196"/>
      <c r="E139" s="2196"/>
      <c r="F139" s="2196"/>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3195000</v>
      </c>
    </row>
  </sheetData>
  <sheetProtection algorithmName="SHA-512" hashValue="YGH9/3t+N7VQnAtWd7OxTW5NUSAs3+yK46q1rXYxFGDYHrnOvquJPEYB8SbeUvH2DAieolj9jgytxzJF4fe2Cg==" saltValue="E0/+jcutu4Be0IQ5N/iUD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Basis &amp; Credits</vt:lpstr>
      <vt:lpstr>Sources and Basis Breakdown</vt:lpstr>
      <vt:lpstr>Points System</vt:lpstr>
      <vt:lpstr>Tie Breaker</vt:lpstr>
      <vt:lpstr>Subsidy Contract Calculation</vt:lpstr>
      <vt:lpstr>15 Year Pro Forma</vt:lpstr>
      <vt:lpstr>CalHFA Addendum</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2025-01-22T20:25:07Z</cp:lastPrinted>
  <dcterms:created xsi:type="dcterms:W3CDTF">2007-12-27T18:26:28Z</dcterms:created>
  <dcterms:modified xsi:type="dcterms:W3CDTF">2025-02-03T17:50:56Z</dcterms:modified>
</cp:coreProperties>
</file>