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8 12432 Moorpark\"/>
    </mc:Choice>
  </mc:AlternateContent>
  <xr:revisionPtr revIDLastSave="0" documentId="13_ncr:1_{DA0BE661-4197-4F72-AE09-AA69B208CD8A}" xr6:coauthVersionLast="47" xr6:coauthVersionMax="47" xr10:uidLastSave="{00000000-0000-0000-0000-000000000000}"/>
  <bookViews>
    <workbookView xWindow="-108" yWindow="-108" windowWidth="23256" windowHeight="12576" tabRatio="753" activeTab="2" xr2:uid="{B5F7C901-A336-4CA3-BC76-4E0FE3D950EA}"/>
  </bookViews>
  <sheets>
    <sheet name="Instructions-App Completion " sheetId="1" r:id="rId1"/>
    <sheet name="Instructions-Electronic Submit" sheetId="16" r:id="rId2"/>
    <sheet name="Application" sheetId="3" r:id="rId3"/>
    <sheet name="Application Checklist" sheetId="19"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2"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2">Application!$A:$AT</definedName>
    <definedName name="_xlnm.Print_Area" localSheetId="3">'Application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2" hidden="1">Application!$842:$965</definedName>
    <definedName name="Z_ACB87C9A_02C3_4C83_BBE4_E2C44A4D81CD_.wvu.PrintArea" localSheetId="11" hidden="1">'15 Year Pro Forma'!$A$1:$AH$77</definedName>
    <definedName name="Z_ACB87C9A_02C3_4C83_BBE4_E2C44A4D81CD_.wvu.PrintArea" localSheetId="2"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Q393" i="3"/>
  <c r="C57" i="4"/>
  <c r="AM557" i="3"/>
  <c r="H13" i="4"/>
  <c r="E13" i="4" s="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C86" i="4"/>
  <c r="E86" i="4" s="1"/>
  <c r="E85" i="4"/>
  <c r="E84" i="4"/>
  <c r="E83" i="4"/>
  <c r="E80" i="4"/>
  <c r="E79" i="4"/>
  <c r="E76" i="4"/>
  <c r="E75" i="4"/>
  <c r="E74" i="4"/>
  <c r="E73" i="4"/>
  <c r="E72" i="4"/>
  <c r="E69" i="4"/>
  <c r="E68" i="4"/>
  <c r="E67" i="4"/>
  <c r="C66" i="4"/>
  <c r="E66" i="4" s="1"/>
  <c r="C65" i="4"/>
  <c r="E65" i="4" s="1"/>
  <c r="E61" i="4"/>
  <c r="E60" i="4"/>
  <c r="E59" i="4"/>
  <c r="E58" i="4"/>
  <c r="E57" i="4"/>
  <c r="E56" i="4"/>
  <c r="E53" i="4"/>
  <c r="C52" i="4"/>
  <c r="E52" i="4" s="1"/>
  <c r="E51" i="4"/>
  <c r="E50" i="4"/>
  <c r="E49" i="4"/>
  <c r="E48" i="4"/>
  <c r="C47" i="4"/>
  <c r="S47" i="4" s="1"/>
  <c r="E46" i="4"/>
  <c r="C45" i="4"/>
  <c r="E45" i="4" s="1"/>
  <c r="C43" i="4"/>
  <c r="E43" i="4" s="1"/>
  <c r="E41" i="4"/>
  <c r="E40" i="4"/>
  <c r="E37" i="4"/>
  <c r="E36" i="4"/>
  <c r="F35" i="4"/>
  <c r="E35" i="4" s="1"/>
  <c r="E34" i="4"/>
  <c r="C33" i="4"/>
  <c r="F32" i="4"/>
  <c r="E32" i="4" s="1"/>
  <c r="F31" i="4"/>
  <c r="E31" i="4" s="1"/>
  <c r="C30" i="4"/>
  <c r="E29" i="4"/>
  <c r="E27" i="4"/>
  <c r="E15" i="4"/>
  <c r="E14" i="4"/>
  <c r="E10" i="4"/>
  <c r="E9" i="4"/>
  <c r="E7" i="4"/>
  <c r="E6" i="4"/>
  <c r="E5" i="4"/>
  <c r="AA918" i="3"/>
  <c r="W869" i="3"/>
  <c r="W861" i="3"/>
  <c r="W846" i="3"/>
  <c r="Z813" i="3"/>
  <c r="T773" i="3"/>
  <c r="K719" i="3"/>
  <c r="K720" i="3" s="1"/>
  <c r="K721" i="3" s="1"/>
  <c r="AA656" i="3"/>
  <c r="H656" i="3"/>
  <c r="G655" i="3"/>
  <c r="Z655" i="3" s="1"/>
  <c r="G654" i="3"/>
  <c r="Z654" i="3" s="1"/>
  <c r="G653" i="3"/>
  <c r="Z653" i="3" s="1"/>
  <c r="G652" i="3"/>
  <c r="Z652" i="3" s="1"/>
  <c r="AA648" i="3"/>
  <c r="H648" i="3"/>
  <c r="G647" i="3"/>
  <c r="Z647" i="3" s="1"/>
  <c r="G646" i="3"/>
  <c r="Z646" i="3" s="1"/>
  <c r="G645" i="3"/>
  <c r="Z645" i="3" s="1"/>
  <c r="G644" i="3"/>
  <c r="Z644" i="3" s="1"/>
  <c r="W630" i="3"/>
  <c r="AO629" i="3"/>
  <c r="C66" i="7" s="1"/>
  <c r="C629" i="3"/>
  <c r="A66" i="7" s="1"/>
  <c r="W628" i="3"/>
  <c r="T627" i="3"/>
  <c r="C627" i="3"/>
  <c r="G581" i="3"/>
  <c r="G580" i="3"/>
  <c r="G579" i="3"/>
  <c r="G578" i="3"/>
  <c r="Z572" i="3"/>
  <c r="Z571" i="3"/>
  <c r="Z570" i="3"/>
  <c r="Z569" i="3"/>
  <c r="AM559" i="3"/>
  <c r="W558" i="3"/>
  <c r="Q557" i="3"/>
  <c r="W555" i="3"/>
  <c r="C555" i="3"/>
  <c r="C628" i="3" s="1"/>
  <c r="A41" i="7" s="1"/>
  <c r="AG442" i="3"/>
  <c r="AG443" i="3" s="1"/>
  <c r="AG448" i="3"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F627" i="3" l="1"/>
  <c r="E47" i="4"/>
  <c r="S65" i="4"/>
  <c r="E4"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F33" i="4"/>
  <c r="F30" i="4" s="1"/>
  <c r="S33" i="4"/>
  <c r="S43" i="4"/>
  <c r="S86" i="4"/>
  <c r="S30" i="4"/>
  <c r="S52" i="4"/>
  <c r="G30" i="4"/>
  <c r="E30" i="4" l="1"/>
  <c r="E33" i="4"/>
  <c r="AF628" i="3"/>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Q832" i="3"/>
  <c r="U832" i="3"/>
  <c r="T718" i="3" s="1"/>
  <c r="Y832" i="3"/>
  <c r="AC832" i="3"/>
  <c r="AG832" i="3"/>
  <c r="Z902" i="3"/>
  <c r="AO18" i="20" l="1"/>
  <c r="D103" i="11"/>
  <c r="D32" i="11"/>
  <c r="D36" i="11"/>
  <c r="D87" i="11"/>
  <c r="D35" i="11"/>
  <c r="D25" i="11"/>
  <c r="D34" i="11"/>
  <c r="D33" i="11"/>
  <c r="B26" i="4"/>
  <c r="D94" i="11"/>
  <c r="D86" i="11"/>
  <c r="D93" i="11"/>
  <c r="D85" i="11"/>
  <c r="D101" i="11"/>
  <c r="D92" i="11"/>
  <c r="D54" i="11"/>
  <c r="D6" i="11"/>
  <c r="L274" i="3"/>
  <c r="H287" i="3" s="1"/>
  <c r="AA249" i="3"/>
  <c r="T719" i="3"/>
  <c r="O718" i="3"/>
  <c r="P418"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55" i="11" s="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J40" i="8"/>
  <c r="Z809" i="3" s="1"/>
  <c r="G60" i="21"/>
  <c r="E26" i="21"/>
  <c r="E24" i="21"/>
  <c r="F24" i="21" s="1"/>
  <c r="G40" i="8"/>
  <c r="I15" i="7"/>
  <c r="E28" i="21"/>
  <c r="E25" i="21"/>
  <c r="F25" i="21" s="1"/>
  <c r="G25" i="21" s="1"/>
  <c r="N195" i="23" l="1"/>
  <c r="B12" i="4"/>
  <c r="D82" i="11"/>
  <c r="D43" i="11"/>
  <c r="BE50" i="3"/>
  <c r="BQ96" i="23"/>
  <c r="AF418" i="3"/>
  <c r="AP582" i="20" s="1"/>
  <c r="AP587" i="20" s="1"/>
  <c r="I421" i="3"/>
  <c r="C558" i="3"/>
  <c r="BE57" i="3"/>
  <c r="D105" i="11"/>
  <c r="D71" i="11"/>
  <c r="X718" i="3"/>
  <c r="AH718" i="3" s="1"/>
  <c r="AQ112" i="20"/>
  <c r="D4" i="8"/>
  <c r="T720" i="3"/>
  <c r="O719" i="3"/>
  <c r="FJ718" i="3"/>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Y607" i="20" l="1"/>
  <c r="O20" i="21"/>
  <c r="O22" i="21"/>
  <c r="O21" i="21"/>
  <c r="P21" i="21" s="1" a="1"/>
  <c r="P21" i="21" s="1"/>
  <c r="S21" i="21" s="1"/>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T721" i="3"/>
  <c r="X721" i="3" s="1"/>
  <c r="AH721" i="3" s="1"/>
  <c r="BU721" i="3" s="1"/>
  <c r="O720" i="3"/>
  <c r="O753" i="3" s="1"/>
  <c r="B105" i="4"/>
  <c r="AO630" i="3" s="1"/>
  <c r="I99" i="4"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E35" i="7"/>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E99" i="4"/>
  <c r="I104" i="4"/>
  <c r="I105" i="4" s="1"/>
  <c r="AT631" i="3"/>
  <c r="Z651" i="3"/>
  <c r="AT629" i="3"/>
  <c r="AT630" i="3"/>
  <c r="I2" i="4"/>
  <c r="C61" i="7"/>
  <c r="I108" i="4"/>
  <c r="AO639" i="3"/>
  <c r="AK191" i="20"/>
  <c r="T811" i="20" s="1"/>
  <c r="AF811" i="20" s="1"/>
  <c r="BE76" i="3" s="1"/>
  <c r="AB266" i="20"/>
  <c r="AG268" i="20" s="1"/>
  <c r="AG270" i="20" s="1"/>
  <c r="AK273" i="20" s="1"/>
  <c r="T812" i="20" s="1"/>
  <c r="AF812" i="20" s="1"/>
  <c r="BE77" i="3" s="1"/>
  <c r="AC454" i="3"/>
  <c r="D40" i="8"/>
  <c r="Y801" i="3"/>
  <c r="Y800" i="3"/>
  <c r="AQ114" i="20"/>
  <c r="X720" i="3"/>
  <c r="AH720" i="3" s="1"/>
  <c r="BU720" i="3" s="1"/>
  <c r="BU753" i="3" s="1"/>
  <c r="AH753" i="3" s="1"/>
  <c r="BE43" i="3" s="1"/>
  <c r="D6" i="8"/>
  <c r="FJ720" i="3"/>
  <c r="EH637" i="3" s="1"/>
  <c r="EH670" i="3" s="1"/>
  <c r="O130" i="20" s="1"/>
  <c r="O133" i="20" s="1"/>
  <c r="O136" i="20" s="1"/>
  <c r="E138" i="20" s="1"/>
  <c r="E139" i="20" s="1"/>
  <c r="AK143" i="20" s="1"/>
  <c r="T807" i="20" s="1"/>
  <c r="AF807" i="20" s="1"/>
  <c r="BE74"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AC456" i="3" l="1"/>
  <c r="E104" i="4"/>
  <c r="E105" i="4" s="1"/>
  <c r="R99" i="4"/>
  <c r="R104" i="4" s="1"/>
  <c r="R105" i="4" s="1"/>
  <c r="AJ1029" i="3"/>
  <c r="AJ1036" i="3"/>
  <c r="I15" i="21" s="1"/>
  <c r="AO641" i="3"/>
  <c r="AM558" i="3" s="1"/>
  <c r="AM566" i="3" s="1"/>
  <c r="AB48" i="15"/>
  <c r="AB49" i="15" s="1"/>
  <c r="AB54" i="15" s="1"/>
  <c r="AB55" i="15"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T11" i="15" l="1"/>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T29" i="15" l="1"/>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O62" i="7" s="1"/>
  <c r="M27" i="3"/>
  <c r="BE20" i="3" s="1"/>
  <c r="I10" i="21"/>
  <c r="I11" i="21" s="1"/>
  <c r="Y7" i="7"/>
  <c r="AA6" i="7"/>
  <c r="AE22" i="7"/>
  <c r="AE35" i="7" s="1"/>
  <c r="AG15" i="7"/>
  <c r="AG22" i="7" s="1"/>
  <c r="AG35" i="7" s="1"/>
  <c r="AE9" i="7"/>
  <c r="AG8" i="7"/>
  <c r="AG9" i="7" s="1"/>
  <c r="I18" i="21" l="1"/>
  <c r="H4" i="21" s="1"/>
  <c r="O66" i="7"/>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G49" i="7"/>
  <c r="AG45" i="7"/>
  <c r="AE47" i="7"/>
  <c r="AE60" i="7"/>
  <c r="AE48" i="7"/>
  <c r="BH753" i="3"/>
  <c r="AC753" i="3" s="1"/>
  <c r="BE42" i="3" s="1"/>
  <c r="AE62" i="7" l="1"/>
  <c r="AC66" i="7"/>
  <c r="AC70" i="7" s="1"/>
  <c r="AC72" i="7" s="1"/>
  <c r="AA70" i="7"/>
  <c r="AA72" i="7" s="1"/>
  <c r="AG48" i="7"/>
  <c r="AG47" i="7"/>
  <c r="AG60" i="7"/>
  <c r="E93" i="20"/>
  <c r="E94" i="20" s="1"/>
  <c r="E95" i="20" s="1"/>
  <c r="E103" i="20"/>
  <c r="E106" i="20" s="1"/>
  <c r="AP106" i="20" s="1"/>
  <c r="AK109" i="20" s="1"/>
  <c r="T806" i="20" s="1"/>
  <c r="AF806" i="20" s="1"/>
  <c r="AG62" i="7" l="1"/>
  <c r="AE66" i="7"/>
  <c r="AE70" i="7" s="1"/>
  <c r="AE72" i="7" s="1"/>
  <c r="BE73" i="3"/>
  <c r="AF821" i="20"/>
  <c r="BE70" i="3" s="1"/>
  <c r="H3" i="21"/>
  <c r="AG66" i="7" l="1"/>
  <c r="AG70" i="7" s="1"/>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<sst xmlns="http://schemas.openxmlformats.org/spreadsheetml/2006/main" count="4931" uniqueCount="2716">
  <si>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</si>
  <si>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</si>
  <si>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</si>
  <si>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</si>
  <si>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</si>
  <si>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</si>
  <si>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</si>
  <si>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</si>
  <si>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</si>
  <si>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</si>
  <si>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</si>
  <si>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</si>
  <si>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</si>
  <si>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</si>
  <si>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</si>
  <si>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</si>
  <si>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</si>
  <si>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</si>
  <si>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</si>
  <si>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</si>
  <si>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</si>
  <si>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</si>
  <si>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</si>
  <si>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</si>
  <si>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</si>
  <si>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</si>
  <si>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</si>
  <si>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</si>
  <si>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</si>
  <si>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</si>
  <si>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</si>
  <si>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</si>
  <si>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</si>
  <si>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</si>
  <si>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</si>
  <si>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</si>
  <si>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</si>
  <si>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</si>
  <si>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</si>
  <si>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</si>
  <si>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</si>
  <si>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</si>
  <si>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</si>
  <si>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</si>
  <si>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</si>
  <si>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</si>
  <si>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</si>
  <si>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</si>
  <si>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</si>
  <si>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</si>
  <si>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</si>
  <si>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</si>
  <si>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</si>
  <si>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</si>
  <si>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</si>
  <si>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</si>
  <si>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</si>
  <si>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</si>
  <si>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</si>
  <si>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</si>
  <si>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</si>
  <si>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</si>
  <si>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</si>
  <si>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</si>
  <si>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</si>
  <si>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</si>
  <si>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</si>
  <si>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</si>
  <si>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</si>
  <si>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</si>
  <si>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</si>
  <si>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</si>
  <si>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</si>
  <si>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</si>
  <si>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</si>
  <si>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</si>
  <si>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</si>
  <si>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</si>
  <si>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</si>
  <si>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</si>
  <si>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</si>
  <si>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</si>
  <si>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</si>
  <si>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</si>
  <si>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</si>
  <si>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</si>
  <si>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</si>
  <si>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</si>
  <si>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</si>
  <si>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</si>
  <si>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</si>
  <si>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</si>
  <si>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</si>
  <si>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</si>
  <si>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</si>
  <si>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</si>
  <si>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</si>
  <si>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</si>
  <si>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</si>
  <si>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</si>
  <si>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</si>
  <si>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</si>
  <si>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</si>
  <si>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</si>
  <si>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</si>
  <si>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</si>
  <si>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</si>
  <si>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</si>
  <si>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</si>
  <si>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</si>
  <si>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</si>
  <si>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</si>
  <si>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</si>
  <si>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</si>
  <si>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</si>
  <si>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</si>
  <si>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</si>
  <si>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</si>
  <si>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</si>
  <si>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</si>
  <si>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</si>
  <si>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</si>
  <si>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</si>
  <si>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</si>
  <si>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</si>
  <si>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</si>
  <si>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</si>
  <si>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</si>
  <si>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</si>
  <si>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</si>
  <si>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</si>
  <si>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</si>
  <si>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</si>
  <si>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</si>
  <si>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</si>
  <si>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</si>
  <si>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</si>
  <si>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</si>
  <si>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</si>
  <si>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</si>
  <si>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</si>
  <si>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</si>
  <si>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</si>
  <si>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</si>
  <si>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</si>
  <si>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</si>
  <si>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</si>
  <si>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</si>
  <si>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</si>
  <si>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</si>
  <si>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</si>
  <si>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</si>
  <si>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</si>
  <si>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</si>
  <si>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</si>
  <si>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</si>
  <si>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</si>
  <si>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</si>
  <si>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</si>
  <si>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</si>
  <si>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</si>
  <si>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</si>
  <si>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</si>
  <si>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</si>
  <si>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</si>
  <si>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</si>
  <si>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</si>
  <si>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</si>
  <si>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</si>
  <si>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</si>
  <si>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</si>
  <si>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</si>
  <si>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</si>
  <si>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</si>
  <si>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</si>
  <si>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</si>
  <si>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</si>
  <si>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</si>
  <si>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</si>
  <si>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</si>
  <si>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</si>
  <si>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</si>
  <si>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</si>
  <si>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</si>
  <si>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</si>
  <si>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</si>
  <si>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</si>
  <si>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</si>
  <si>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</si>
  <si>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</si>
  <si>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</si>
  <si>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</si>
  <si>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</si>
  <si>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</si>
  <si>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</si>
  <si>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</si>
  <si>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</si>
  <si>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</si>
  <si>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</si>
  <si>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</si>
  <si>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</si>
  <si>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</si>
  <si>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</si>
  <si>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</si>
  <si>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</si>
  <si>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</si>
  <si>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</si>
  <si>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</si>
  <si>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</si>
  <si>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</si>
  <si>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</si>
  <si>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</si>
  <si>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</si>
  <si>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</si>
  <si>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</si>
  <si>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</si>
  <si>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</si>
  <si>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</si>
  <si>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</si>
  <si>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</si>
  <si>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</si>
  <si>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</si>
  <si>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</si>
  <si>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</si>
  <si>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</si>
  <si>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</si>
  <si>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</si>
  <si>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</si>
  <si>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</si>
  <si>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</si>
  <si>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</si>
  <si>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</si>
  <si>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</si>
  <si>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</si>
  <si>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</si>
  <si>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</si>
  <si>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</si>
  <si>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</si>
  <si>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</si>
  <si>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</si>
  <si>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</si>
  <si>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</si>
  <si>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</si>
  <si>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</si>
  <si>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</si>
  <si>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</si>
  <si>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</si>
  <si>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</si>
  <si>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</si>
  <si>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</si>
  <si>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</si>
  <si>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</si>
  <si>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</si>
  <si>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</si>
  <si>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</si>
  <si>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</si>
  <si>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</si>
  <si>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</si>
  <si>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</si>
  <si>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</si>
  <si>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</si>
  <si>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</si>
  <si>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</si>
  <si>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</si>
  <si>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</si>
  <si>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</si>
  <si>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</si>
  <si>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</si>
  <si>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</si>
  <si>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</si>
  <si>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</si>
  <si>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</si>
  <si>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</si>
  <si>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</si>
  <si>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</si>
  <si>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</si>
  <si>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</si>
  <si>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</si>
  <si>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</si>
  <si>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</si>
  <si>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</si>
  <si>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</si>
  <si>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</si>
  <si>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</si>
  <si>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</si>
  <si>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</si>
  <si>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</si>
  <si>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</si>
  <si>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</si>
  <si>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</si>
  <si>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</si>
  <si>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</si>
  <si>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</si>
  <si>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</si>
  <si>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</si>
  <si>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</si>
  <si>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</si>
  <si>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</si>
  <si>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</si>
  <si>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</si>
  <si>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</si>
  <si>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</si>
  <si>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</si>
  <si>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</si>
  <si>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</si>
  <si>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</si>
  <si>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</si>
  <si>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</si>
  <si>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</si>
  <si>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</si>
  <si>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</si>
  <si>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</si>
  <si>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</si>
  <si>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</si>
  <si>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</si>
  <si>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</si>
  <si>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</si>
  <si>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</si>
  <si>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</si>
  <si>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</si>
  <si>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</si>
  <si>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</si>
  <si>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</si>
  <si>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</si>
  <si>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</si>
  <si>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</si>
  <si>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</si>
  <si>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</si>
  <si>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</si>
  <si>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</si>
  <si>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</si>
  <si>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</si>
  <si>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</si>
  <si>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</si>
  <si>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</si>
  <si>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</si>
  <si>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</si>
  <si>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</si>
  <si>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</si>
  <si>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</si>
  <si>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</si>
  <si>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</si>
  <si>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</si>
  <si>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</si>
  <si>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</si>
  <si>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</si>
  <si>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</si>
  <si>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</si>
  <si>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</si>
  <si>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</si>
  <si>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</si>
  <si>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</si>
  <si>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</si>
  <si>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</si>
  <si>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</si>
  <si>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</si>
  <si>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</si>
  <si>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</si>
  <si>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</si>
  <si>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</si>
  <si>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</si>
  <si>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</si>
  <si>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</si>
  <si>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</si>
  <si>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</si>
  <si>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</si>
  <si>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</si>
  <si>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</si>
  <si>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</si>
  <si>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</si>
  <si>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</si>
  <si>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</si>
  <si>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</si>
  <si>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</si>
  <si>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</si>
  <si>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</si>
  <si>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</si>
  <si>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</si>
  <si>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</si>
  <si>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</si>
  <si>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</si>
  <si>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</si>
  <si>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</si>
  <si>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</si>
  <si>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</si>
  <si>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</si>
  <si>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</si>
  <si>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</si>
  <si>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</si>
  <si>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</si>
  <si>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</si>
  <si>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</si>
  <si>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</si>
  <si>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</si>
  <si>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</si>
  <si>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</si>
  <si>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</si>
  <si>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</si>
  <si>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</si>
  <si>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</si>
  <si>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</si>
  <si>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</si>
  <si>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</si>
  <si>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</si>
  <si>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</si>
  <si>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</si>
  <si>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</si>
  <si>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</si>
  <si>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</si>
  <si>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</si>
  <si>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</si>
  <si>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</si>
  <si>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</si>
  <si>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</si>
  <si>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</si>
  <si>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</si>
  <si>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</si>
  <si>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</si>
  <si>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</si>
  <si>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</si>
  <si>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</si>
  <si>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</si>
  <si>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</si>
  <si>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</si>
  <si>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</si>
  <si>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</si>
  <si>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</si>
  <si>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</si>
  <si>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</si>
  <si>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</si>
  <si>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</si>
  <si>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</si>
  <si>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</si>
  <si>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</si>
  <si>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</si>
  <si>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</si>
  <si>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</si>
  <si>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</si>
  <si>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</si>
  <si>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</si>
  <si>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</si>
  <si>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</si>
  <si>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</si>
  <si>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</si>
  <si>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</si>
  <si>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</si>
  <si>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</si>
  <si>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</si>
  <si>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</si>
  <si>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</si>
  <si>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</si>
  <si>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</si>
  <si>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</si>
  <si>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</si>
  <si>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</si>
  <si>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</si>
  <si>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</si>
  <si>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</si>
  <si>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</si>
  <si>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</si>
  <si>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</si>
  <si>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</si>
  <si>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</si>
  <si>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</si>
  <si>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</si>
  <si>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</si>
  <si>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</si>
  <si>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</si>
  <si>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</si>
  <si>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</si>
  <si>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</si>
  <si>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</si>
  <si>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</si>
  <si>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</si>
  <si>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</si>
  <si>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</si>
  <si>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</si>
  <si>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</si>
  <si>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</si>
  <si>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</si>
  <si>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</si>
  <si>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</si>
  <si>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</si>
  <si>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</si>
  <si>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</si>
  <si>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</si>
  <si>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</si>
  <si>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</si>
  <si>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</si>
  <si>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</si>
  <si>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</si>
  <si>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</si>
  <si>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</si>
  <si>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</si>
  <si>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</si>
  <si>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</si>
  <si>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</si>
  <si>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</si>
  <si>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</si>
  <si>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</si>
  <si>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</si>
  <si>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</si>
  <si>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</si>
  <si>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</si>
  <si>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</si>
  <si>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</si>
  <si>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</si>
  <si>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</si>
  <si>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</si>
  <si>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</si>
  <si>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</si>
  <si>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</si>
  <si>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</si>
  <si>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</si>
  <si>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</si>
  <si>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</si>
  <si>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</si>
  <si>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</si>
  <si>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</si>
  <si>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</si>
  <si>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</si>
  <si>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</si>
  <si>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</si>
  <si>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</si>
  <si>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</si>
  <si>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</si>
  <si>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</si>
  <si>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</si>
  <si>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</si>
  <si>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</si>
  <si>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</si>
  <si>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</si>
  <si>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</si>
  <si>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</si>
  <si>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</si>
  <si>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</si>
  <si>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</si>
  <si>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</si>
  <si>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</si>
  <si>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</si>
  <si>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</si>
  <si>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</si>
  <si>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</si>
  <si>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</si>
  <si>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</si>
  <si>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</si>
  <si>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</si>
  <si>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</si>
  <si>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</si>
  <si>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</si>
  <si>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</si>
  <si>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</si>
  <si>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</si>
  <si>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</si>
  <si>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</si>
  <si>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</si>
  <si>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</si>
  <si>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</si>
  <si>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</si>
  <si>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</si>
  <si>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</si>
  <si>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</si>
  <si>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</si>
  <si>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</si>
  <si>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</si>
  <si>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</si>
  <si>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</si>
  <si>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</si>
  <si>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</si>
  <si>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</si>
  <si>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</si>
  <si>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</si>
  <si>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</si>
  <si>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</si>
  <si>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</si>
  <si>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</si>
  <si>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</si>
  <si>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</si>
  <si>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</si>
  <si>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</si>
  <si>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</si>
  <si>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</si>
  <si>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</si>
  <si>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</si>
  <si>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</si>
  <si>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</si>
  <si>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</si>
  <si>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</si>
  <si>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</si>
  <si>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</si>
  <si>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</si>
  <si>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</si>
  <si>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</si>
  <si>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</si>
  <si>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</si>
  <si>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</si>
  <si>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</si>
  <si>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</si>
  <si>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</si>
  <si>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</si>
  <si>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</si>
  <si>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</si>
  <si>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</si>
  <si>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</si>
  <si>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</si>
  <si>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</si>
  <si>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</si>
  <si>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</si>
  <si>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</si>
  <si>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</si>
  <si>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</si>
  <si>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</si>
  <si>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</si>
  <si>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</si>
  <si>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</si>
  <si>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</si>
  <si>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</si>
  <si>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</si>
  <si>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</si>
  <si>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</si>
  <si>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</si>
  <si>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</si>
  <si>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</si>
  <si>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</si>
  <si>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</si>
  <si>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</si>
  <si>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</si>
  <si>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</si>
  <si>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</si>
  <si>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</si>
  <si>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</si>
  <si>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</si>
  <si>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</si>
  <si>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</si>
  <si>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</si>
  <si>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</si>
  <si>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</si>
  <si>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</si>
  <si>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</si>
  <si>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</si>
  <si>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</si>
  <si>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</si>
  <si>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</si>
  <si>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</si>
  <si>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</si>
  <si>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</si>
  <si>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</si>
  <si>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</si>
  <si>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</si>
  <si>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</si>
  <si>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</si>
  <si>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</si>
  <si>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</si>
  <si>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</si>
  <si>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</si>
  <si>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</si>
  <si>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</si>
  <si>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</si>
  <si>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</si>
  <si>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</si>
  <si>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</si>
  <si>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</si>
  <si>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</si>
  <si>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</si>
  <si>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</si>
  <si>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</si>
  <si>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</si>
  <si>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</si>
  <si>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</si>
  <si>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</si>
  <si>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</si>
  <si>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</si>
  <si>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</si>
  <si>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</si>
  <si>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</si>
  <si>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</si>
  <si>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</si>
  <si>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</si>
  <si>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</si>
  <si>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</si>
  <si>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</si>
  <si>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</si>
  <si>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</si>
  <si>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</si>
  <si>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</si>
  <si>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</si>
  <si>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</si>
  <si>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</si>
  <si>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</si>
  <si>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</si>
  <si>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</si>
  <si>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</si>
  <si>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</si>
  <si>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</si>
  <si>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</si>
  <si>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</si>
  <si>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</si>
  <si>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</si>
  <si>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</si>
  <si>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</si>
  <si>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</si>
  <si>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</si>
  <si>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</si>
  <si>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</si>
  <si>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</si>
  <si>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</si>
  <si>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</si>
  <si>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</si>
  <si>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</si>
  <si>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</si>
  <si>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</si>
  <si>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</si>
  <si>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</si>
  <si>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</si>
  <si>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</si>
  <si>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</si>
  <si>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</si>
  <si>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</si>
  <si>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</si>
  <si>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</si>
  <si>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</si>
  <si>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</si>
  <si>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</si>
  <si>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</si>
  <si>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</si>
  <si>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</si>
  <si>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</si>
  <si>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</si>
  <si>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</si>
  <si>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</si>
  <si>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</si>
  <si>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</si>
  <si>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</si>
  <si>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</si>
  <si>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</si>
  <si>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</si>
  <si>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</si>
  <si>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</si>
  <si>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</si>
  <si>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</si>
  <si>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</si>
  <si>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</si>
  <si>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</si>
  <si>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</si>
  <si>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</si>
  <si>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</si>
  <si>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</si>
  <si>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</si>
  <si>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</si>
  <si>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</si>
  <si>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</si>
  <si>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</si>
  <si>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</si>
  <si>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</si>
  <si>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</si>
  <si>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</si>
  <si>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</si>
  <si>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</si>
  <si>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</si>
  <si>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</si>
  <si>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</si>
  <si>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</si>
  <si>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</si>
  <si>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</si>
  <si>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</si>
  <si>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</si>
  <si>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</si>
  <si>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</si>
  <si>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</si>
  <si>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</si>
  <si>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</si>
  <si>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</si>
  <si>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</si>
  <si>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</si>
  <si>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</si>
  <si>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</si>
  <si>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</si>
  <si>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</si>
  <si>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</si>
  <si>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</si>
  <si>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</si>
  <si>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</si>
  <si>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</si>
  <si>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</si>
  <si>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</si>
  <si>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</si>
  <si>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</si>
  <si>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</si>
  <si>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</si>
  <si>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</si>
  <si>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</si>
  <si>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</si>
  <si>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</si>
  <si>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</si>
  <si>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</si>
  <si>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</si>
  <si>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</si>
  <si>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</si>
  <si>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</si>
  <si>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</si>
  <si>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</si>
  <si>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</si>
  <si>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</si>
  <si>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</si>
  <si>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</si>
  <si>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</si>
  <si>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</si>
  <si>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</si>
  <si>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</si>
  <si>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</si>
  <si>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</si>
  <si>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</si>
  <si>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</si>
  <si>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</si>
  <si>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</si>
  <si>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</si>
  <si>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</si>
  <si>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</si>
  <si>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</si>
  <si>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</si>
  <si>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</si>
  <si>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</si>
  <si>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</si>
  <si>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</si>
  <si>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</si>
  <si>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</si>
  <si>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</si>
  <si>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</si>
  <si>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</si>
  <si>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</si>
  <si>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</si>
  <si>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</si>
  <si>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</si>
  <si>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</si>
  <si>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</si>
  <si>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</si>
  <si>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</si>
  <si>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</si>
  <si>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</si>
  <si>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</si>
  <si>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</si>
  <si>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</si>
  <si>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</si>
  <si>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</si>
  <si>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</si>
  <si>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</si>
  <si>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</si>
  <si>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</si>
  <si>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</si>
  <si>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</si>
  <si>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</si>
  <si>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</si>
  <si>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</si>
  <si>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</si>
  <si>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</si>
  <si>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</si>
  <si>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</si>
  <si>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</si>
  <si>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</si>
  <si>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</si>
  <si>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</si>
  <si>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</si>
  <si>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</si>
  <si>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</si>
  <si>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</si>
  <si>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</si>
  <si>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</si>
  <si>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</si>
  <si>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</si>
  <si>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</si>
  <si>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</si>
  <si>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</si>
  <si>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</si>
  <si>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</si>
  <si>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</si>
  <si>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</si>
  <si>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</si>
  <si>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</si>
  <si>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</si>
  <si>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</si>
  <si>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</si>
  <si>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</si>
  <si>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</si>
  <si>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</si>
  <si>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</si>
  <si>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</si>
  <si>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</si>
  <si>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</si>
  <si>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</si>
  <si>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</si>
  <si>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</si>
  <si>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</si>
  <si>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</si>
  <si>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</si>
  <si>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</si>
  <si>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</si>
  <si>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</si>
  <si>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</si>
  <si>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</si>
  <si>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</si>
  <si>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</si>
  <si>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</si>
  <si>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</si>
  <si>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</si>
  <si>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</si>
  <si>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</si>
  <si>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</si>
  <si>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</si>
  <si>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</si>
  <si>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</si>
  <si>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</si>
  <si>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</si>
  <si>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</si>
  <si>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</si>
  <si>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</si>
  <si>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</si>
  <si>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</si>
  <si>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</si>
  <si>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</si>
  <si>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</si>
  <si>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</si>
  <si>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</si>
  <si>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</si>
  <si>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</si>
  <si>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</si>
  <si>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</si>
  <si>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</si>
  <si>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</si>
  <si>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</si>
  <si>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</si>
  <si>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</si>
  <si>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</si>
  <si>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</si>
  <si>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</si>
  <si>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</si>
  <si>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</si>
  <si>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</si>
  <si>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</si>
  <si>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</si>
  <si>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</si>
  <si>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</si>
  <si>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</si>
  <si>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</si>
  <si>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</si>
  <si>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</si>
  <si>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</si>
  <si>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</si>
  <si>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</si>
  <si>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</si>
  <si>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</si>
  <si>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</si>
  <si>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</si>
  <si>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</si>
  <si>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</si>
  <si>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</si>
  <si>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</si>
  <si>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</si>
  <si>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</si>
  <si>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</si>
  <si>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</si>
  <si>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</si>
  <si>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</si>
  <si>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</si>
  <si>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</si>
  <si>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</si>
  <si>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</si>
  <si>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</si>
  <si>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</si>
  <si>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</si>
  <si>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</si>
  <si>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</si>
  <si>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</si>
  <si>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</si>
  <si>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</si>
  <si>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</si>
  <si>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</si>
  <si>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</si>
  <si>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</si>
  <si>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</si>
  <si>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</si>
  <si>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</si>
  <si>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</si>
  <si>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</si>
  <si>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</si>
  <si>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</si>
  <si>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</si>
  <si>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</si>
  <si>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</si>
  <si>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</si>
  <si>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</si>
  <si>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</si>
  <si>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</si>
  <si>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</si>
  <si>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</si>
  <si>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</si>
  <si>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</si>
  <si>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</si>
  <si>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</si>
  <si>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</si>
  <si>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</si>
  <si>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</si>
  <si>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</si>
  <si>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</si>
  <si>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</si>
  <si>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</si>
  <si>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</si>
  <si>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</si>
  <si>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</si>
  <si>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</si>
  <si>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</si>
  <si>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</si>
  <si>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</si>
  <si>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</si>
  <si>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</si>
  <si>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</si>
  <si>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</si>
  <si>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</si>
  <si>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</si>
  <si>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</si>
  <si>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</si>
  <si>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</si>
  <si>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</si>
  <si>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</si>
  <si>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</si>
  <si>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</si>
  <si>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</si>
  <si>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</si>
  <si>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</si>
  <si>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</si>
  <si>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</si>
  <si>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</si>
  <si>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</si>
  <si>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</si>
  <si>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</si>
  <si>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</si>
  <si>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</si>
  <si>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</si>
  <si>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</si>
  <si>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</si>
  <si>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</si>
  <si>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</si>
  <si>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</si>
  <si>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</si>
  <si>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</si>
  <si>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</si>
  <si>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</si>
  <si>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</si>
  <si>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</si>
  <si>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</si>
  <si>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</si>
  <si>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</si>
  <si>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</si>
  <si>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</si>
  <si>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</si>
  <si>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</si>
  <si>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</si>
  <si>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</si>
  <si>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</si>
  <si>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</si>
  <si>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</si>
  <si>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</si>
  <si>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</si>
  <si>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</si>
  <si>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</si>
  <si>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</si>
  <si>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</si>
  <si>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</si>
  <si>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</si>
  <si>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</si>
  <si>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</si>
  <si>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</si>
  <si>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</si>
  <si>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</si>
  <si>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</si>
  <si>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</si>
  <si>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</si>
  <si>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</si>
  <si>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</si>
  <si>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</si>
  <si>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</si>
  <si>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</si>
  <si>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</si>
  <si>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</si>
  <si>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</si>
  <si>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</si>
  <si>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</si>
  <si>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</si>
  <si>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</si>
  <si>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</si>
  <si>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</si>
  <si>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</si>
  <si>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</si>
  <si>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</si>
  <si>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</si>
  <si>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</si>
  <si>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</si>
  <si>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</si>
  <si>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</si>
  <si>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</si>
  <si>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</si>
  <si>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</si>
  <si>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</si>
  <si>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</si>
  <si>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</si>
  <si>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</si>
  <si>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</si>
  <si>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</si>
  <si>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</si>
  <si>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</si>
  <si>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</si>
  <si>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</si>
  <si>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</si>
  <si>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</si>
  <si>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</si>
  <si>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</si>
  <si>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</si>
  <si>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</si>
  <si>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</si>
  <si>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</si>
  <si>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</si>
  <si>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</si>
  <si>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</si>
  <si>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</si>
  <si>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</si>
  <si>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</si>
  <si>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</si>
  <si>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</si>
  <si>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</si>
  <si>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</si>
  <si>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</si>
  <si>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</si>
  <si>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</si>
  <si>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</si>
  <si>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</si>
  <si>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</si>
  <si>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</si>
  <si>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</si>
  <si>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</si>
  <si>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</si>
  <si>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</si>
  <si>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</si>
  <si>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</si>
  <si>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</si>
  <si>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</si>
  <si>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</si>
  <si>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</si>
  <si>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</si>
  <si>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</si>
  <si>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</si>
  <si>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</si>
  <si>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</si>
  <si>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</si>
  <si>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</si>
  <si>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</si>
  <si>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</si>
  <si>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</si>
  <si>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</si>
  <si>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</si>
  <si>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</si>
  <si>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</si>
  <si>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</si>
  <si>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</si>
  <si>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</si>
  <si>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</si>
  <si>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</si>
  <si>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</si>
  <si>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</si>
  <si>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</si>
  <si>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</si>
  <si>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</si>
  <si>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</si>
  <si>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</si>
  <si>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</si>
  <si>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</si>
  <si>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</si>
  <si>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</si>
  <si>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</si>
  <si>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</si>
  <si>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</si>
  <si>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</si>
  <si>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</si>
  <si>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</si>
  <si>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</si>
  <si>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</si>
  <si>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</si>
  <si>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</si>
  <si>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</si>
  <si>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</si>
  <si>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</si>
  <si>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</si>
  <si>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</si>
  <si>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</si>
  <si>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</si>
  <si>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</si>
  <si>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</si>
  <si>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</si>
  <si>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</si>
  <si>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</si>
  <si>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</si>
  <si>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</si>
  <si>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</si>
  <si>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</si>
  <si>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</si>
  <si>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</si>
  <si>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</si>
  <si>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</si>
  <si>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</si>
  <si>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</si>
  <si>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</si>
  <si>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</si>
  <si>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</si>
  <si>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</si>
  <si>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</si>
  <si>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</si>
  <si>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</si>
  <si>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</si>
  <si>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</si>
  <si>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</si>
  <si>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</si>
  <si>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</si>
  <si>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</si>
  <si>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</si>
  <si>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</si>
  <si>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</si>
  <si>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</si>
  <si>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</si>
  <si>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</si>
  <si>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</si>
  <si>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</si>
  <si>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</si>
  <si>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</si>
  <si>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</si>
  <si>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</si>
  <si>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</si>
  <si>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</si>
  <si>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</si>
  <si>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</si>
  <si>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</si>
  <si>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</si>
  <si>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</si>
  <si>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</si>
  <si>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</si>
  <si>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</si>
  <si>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</si>
  <si>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</si>
  <si>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</si>
  <si>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</si>
  <si>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</si>
  <si>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</si>
  <si>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</si>
  <si>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</si>
  <si>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</si>
  <si>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</si>
  <si>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</si>
  <si>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</si>
  <si>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</si>
  <si>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</si>
  <si>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</si>
  <si>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</si>
  <si>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</si>
  <si>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</si>
  <si>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</si>
  <si>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</si>
  <si>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</si>
  <si>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</si>
  <si>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</si>
  <si>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</si>
  <si>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</si>
  <si>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</si>
  <si>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</si>
  <si>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</si>
  <si>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</si>
  <si>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</si>
  <si>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</si>
  <si>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</si>
  <si>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</si>
  <si>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</si>
  <si>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</si>
  <si>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</si>
  <si>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</si>
  <si>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</si>
  <si>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</si>
  <si>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</si>
  <si>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</si>
  <si>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</si>
  <si>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</si>
  <si>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</si>
  <si>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</si>
  <si>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</si>
  <si>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</si>
  <si>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</si>
  <si>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</si>
  <si>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</si>
  <si>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</si>
  <si>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</si>
  <si>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</si>
  <si>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</si>
  <si>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</si>
  <si>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</si>
  <si>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</si>
  <si>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</si>
  <si>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</si>
  <si>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</si>
  <si>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</si>
  <si>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</si>
  <si>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</si>
  <si>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</si>
  <si>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</si>
  <si>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</si>
  <si>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</si>
  <si>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</si>
  <si>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</si>
  <si>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</si>
  <si>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</si>
  <si>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</si>
  <si>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</si>
  <si>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</si>
  <si>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</si>
  <si>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</si>
  <si>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</si>
  <si>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</si>
  <si>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</si>
  <si>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</si>
  <si>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</si>
  <si>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</si>
  <si>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</si>
  <si>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</si>
  <si>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</si>
  <si>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</si>
  <si>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</si>
  <si>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</si>
  <si>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</si>
  <si>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</si>
  <si>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</si>
  <si>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</si>
  <si>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</si>
  <si>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</si>
  <si>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</si>
  <si>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</si>
  <si>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</si>
  <si>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</si>
  <si>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</si>
  <si>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</si>
  <si>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</si>
  <si>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</si>
  <si>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</si>
  <si>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</si>
  <si>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</si>
  <si>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</si>
  <si>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</si>
  <si>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</si>
  <si>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</si>
  <si>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</si>
  <si>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</si>
  <si>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</si>
  <si>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</si>
  <si>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</si>
  <si>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</si>
  <si>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</si>
  <si>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</si>
  <si>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</si>
  <si>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</si>
  <si>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</si>
  <si>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</si>
  <si>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</si>
  <si>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</si>
  <si>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</si>
  <si>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</si>
  <si>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</si>
  <si>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</si>
  <si>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</si>
  <si>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</si>
  <si>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</si>
  <si>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</si>
  <si>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</si>
  <si>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</si>
  <si>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</si>
  <si>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</si>
  <si>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</si>
  <si>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</si>
  <si>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</si>
  <si>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</si>
  <si>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</si>
  <si>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</si>
  <si>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</si>
  <si>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</si>
  <si>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</si>
  <si>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</si>
  <si>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</si>
  <si>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</si>
  <si>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</si>
  <si>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</si>
  <si>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</si>
  <si>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</si>
  <si>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</si>
  <si>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</si>
  <si>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</si>
  <si>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</si>
  <si>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</si>
  <si>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</si>
  <si>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</si>
  <si>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</si>
  <si>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</si>
  <si>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</si>
  <si>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</si>
  <si>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</si>
  <si>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</si>
  <si>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</si>
  <si>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</si>
  <si>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</si>
  <si>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</si>
  <si>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</si>
  <si>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</si>
  <si>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</si>
  <si>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</si>
  <si>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</si>
  <si>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</si>
  <si>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</si>
  <si>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</si>
  <si>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</si>
  <si>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</si>
  <si>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</si>
  <si>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</si>
  <si>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</si>
  <si>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</si>
  <si>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</si>
  <si>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</si>
  <si>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</si>
  <si>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</si>
  <si>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</si>
  <si>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</si>
  <si>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</si>
  <si>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</si>
  <si>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</si>
  <si>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</si>
  <si>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</si>
  <si>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</si>
  <si>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</si>
  <si>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</si>
  <si>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</si>
  <si>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</si>
  <si>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</si>
  <si>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</si>
  <si>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</si>
  <si>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</si>
  <si>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</si>
  <si>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</si>
  <si>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</si>
  <si>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</si>
  <si>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</si>
  <si>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</si>
  <si>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</si>
  <si>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</si>
  <si>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</si>
  <si>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</si>
  <si>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</si>
  <si>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</si>
  <si>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</si>
  <si>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</si>
  <si>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</si>
  <si>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</si>
  <si>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</si>
  <si>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</si>
  <si>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</si>
  <si>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</si>
  <si>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</si>
  <si>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</si>
  <si>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</si>
  <si>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</si>
  <si>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</si>
  <si>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</si>
  <si>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</si>
  <si>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</si>
  <si>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</si>
  <si>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</si>
  <si>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</si>
  <si>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</si>
  <si>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</si>
  <si>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</si>
  <si>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</si>
  <si>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</si>
  <si>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</si>
  <si>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</si>
  <si>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</si>
  <si>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</si>
  <si>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</si>
  <si>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</si>
  <si>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</si>
  <si>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</si>
  <si>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</si>
  <si>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</si>
  <si>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</si>
  <si>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</si>
  <si>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</si>
  <si>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</si>
  <si>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</si>
  <si>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</si>
  <si>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</si>
  <si>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</si>
  <si>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</si>
  <si>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</si>
  <si>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</si>
  <si>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</si>
  <si>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</si>
  <si>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</si>
  <si>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</si>
  <si>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</si>
  <si>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</si>
  <si>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</si>
  <si>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</si>
  <si>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</si>
  <si>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</si>
  <si>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</si>
  <si>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</si>
  <si>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</si>
  <si>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</si>
  <si>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</si>
  <si>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</si>
  <si>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</si>
  <si>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</si>
  <si>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</si>
  <si>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</si>
  <si>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</si>
  <si>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</si>
  <si>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</si>
  <si>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</si>
  <si>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</si>
  <si>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</si>
  <si>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</si>
  <si>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</si>
  <si>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</si>
  <si>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</si>
  <si>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</si>
  <si>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</si>
  <si>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</si>
  <si>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</si>
  <si>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</si>
  <si>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</si>
  <si>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</si>
  <si>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</si>
  <si>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</si>
  <si>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</si>
  <si>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</si>
  <si>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</si>
  <si>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</si>
  <si>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</si>
  <si>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</si>
  <si>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</si>
  <si>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</si>
  <si>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</si>
  <si>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</si>
  <si>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</si>
  <si>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</si>
  <si>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</si>
  <si>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</si>
  <si>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</si>
  <si>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</si>
  <si>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</si>
  <si>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</si>
  <si>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</si>
  <si>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</si>
  <si>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</si>
  <si>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</si>
  <si>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</si>
  <si>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</si>
  <si>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</si>
  <si>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</si>
  <si>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</si>
  <si>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</si>
  <si>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</si>
  <si>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</si>
  <si>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</si>
  <si>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</si>
  <si>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</si>
  <si>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</si>
  <si>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</si>
  <si>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</si>
  <si>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</si>
  <si>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</si>
  <si>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</si>
  <si>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</si>
  <si>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</si>
  <si>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</si>
  <si>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</si>
  <si>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</si>
  <si>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</si>
  <si>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</si>
  <si>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</si>
  <si>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</si>
  <si>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</si>
  <si>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</si>
  <si>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</si>
  <si>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</si>
  <si>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</si>
  <si>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</si>
  <si>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</si>
  <si>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</si>
  <si>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</si>
  <si>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</si>
  <si>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</si>
  <si>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</si>
  <si>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</si>
  <si>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</si>
  <si>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</si>
  <si>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</si>
  <si>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</si>
  <si>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</si>
  <si>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</si>
  <si>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</si>
  <si>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</si>
  <si>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</si>
  <si>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</si>
  <si>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</si>
  <si>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</si>
  <si>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</si>
  <si>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</si>
  <si>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</si>
  <si>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</si>
  <si>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</si>
  <si>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</si>
  <si>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</si>
  <si>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</si>
  <si>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</si>
  <si>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</si>
  <si>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</si>
  <si>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</si>
  <si>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</si>
  <si>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</si>
  <si>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</si>
  <si>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</si>
  <si>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</si>
  <si>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</si>
  <si>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</si>
  <si>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</si>
  <si>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</si>
  <si>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</si>
  <si>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</si>
  <si>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</si>
  <si>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</si>
  <si>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</si>
  <si>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</si>
  <si>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</si>
  <si>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</si>
  <si>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</si>
  <si>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</si>
  <si>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</si>
  <si>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</si>
  <si>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</si>
  <si>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</si>
  <si>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</si>
  <si>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</si>
  <si>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</si>
  <si>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</si>
  <si>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</si>
  <si>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</si>
  <si>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</si>
  <si>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</si>
  <si>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</si>
  <si>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</si>
  <si>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</si>
  <si>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</si>
  <si>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</si>
  <si>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</si>
  <si>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</si>
  <si>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</si>
  <si>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</si>
  <si>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</si>
  <si>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</si>
  <si>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</si>
  <si>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</si>
  <si>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</si>
  <si>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</si>
  <si>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</si>
  <si>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</si>
  <si>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</si>
  <si>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</si>
  <si>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</si>
  <si>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</si>
  <si>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</si>
  <si>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</si>
  <si>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</si>
  <si>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</si>
  <si>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</si>
  <si>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</si>
  <si>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</si>
  <si>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</si>
  <si>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</si>
  <si>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</si>
  <si>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</si>
  <si>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</si>
  <si>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</si>
  <si>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</si>
  <si>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</si>
  <si>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</si>
  <si>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</si>
  <si>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</si>
  <si>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</si>
  <si>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</si>
  <si>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</si>
  <si>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</si>
  <si>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</si>
  <si>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</si>
  <si>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</si>
  <si>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</si>
  <si>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</si>
  <si>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</si>
  <si>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</si>
  <si>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</si>
  <si>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</si>
  <si>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</si>
  <si>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</si>
  <si>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</si>
  <si>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</si>
  <si>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</si>
  <si>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</si>
  <si>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</si>
  <si>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</si>
  <si>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</si>
  <si>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</si>
  <si>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</si>
  <si>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</si>
  <si>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</si>
  <si>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</si>
  <si>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</si>
  <si>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</si>
  <si>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</si>
  <si>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</si>
  <si>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</si>
  <si>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</si>
  <si>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</si>
  <si>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</si>
  <si>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</si>
  <si>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</si>
  <si>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</si>
  <si>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</si>
  <si>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</si>
  <si>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</si>
  <si>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</si>
  <si>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</si>
  <si>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</si>
  <si>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</si>
  <si>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</si>
  <si>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</si>
  <si>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</si>
  <si>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</si>
  <si>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</si>
  <si>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</si>
  <si>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</si>
  <si>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</si>
  <si>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</si>
  <si>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</si>
  <si>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</si>
  <si>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</si>
  <si>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</si>
  <si>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</si>
  <si>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</si>
  <si>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</si>
  <si>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</si>
  <si>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</si>
  <si>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</si>
  <si>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</si>
  <si>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</si>
  <si>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</si>
  <si>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</si>
  <si>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</si>
  <si>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</si>
  <si>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</si>
  <si>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</si>
  <si>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</si>
  <si>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</si>
  <si>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</si>
  <si>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</si>
  <si>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</si>
  <si>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</si>
  <si>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</si>
  <si>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</si>
  <si>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</si>
  <si>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</si>
  <si>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</si>
  <si>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</si>
  <si>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</si>
  <si>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</si>
  <si>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</si>
  <si>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</si>
  <si>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</si>
  <si>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</si>
  <si>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</si>
  <si>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</si>
  <si>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</si>
  <si>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</si>
  <si>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</si>
  <si>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</si>
  <si>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</si>
  <si>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</si>
  <si>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</si>
  <si>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</si>
  <si>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</si>
  <si>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</si>
  <si>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</si>
  <si>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</si>
  <si>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</si>
  <si>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</si>
  <si>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</si>
  <si>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</si>
  <si>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</si>
  <si>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</si>
  <si>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</si>
  <si>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</si>
  <si>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</si>
  <si>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</si>
  <si>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</si>
  <si>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</si>
  <si>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</si>
  <si>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</si>
  <si>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</si>
  <si>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</si>
  <si>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</si>
  <si>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</si>
  <si>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</si>
  <si>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</si>
  <si>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</si>
  <si>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</si>
  <si>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</si>
  <si>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</si>
  <si>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</si>
  <si>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</si>
  <si>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</si>
  <si>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</si>
  <si>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</si>
  <si>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</si>
  <si>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</si>
  <si>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</si>
  <si>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</si>
  <si>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</si>
  <si>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</si>
  <si>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</si>
  <si>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</si>
  <si>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</si>
  <si>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</si>
  <si>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</si>
  <si>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</si>
  <si>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</si>
  <si>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</si>
  <si>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</si>
  <si>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</si>
  <si>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</si>
  <si>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</si>
  <si>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</si>
  <si>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</si>
  <si>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</si>
  <si>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</si>
  <si>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</si>
  <si>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</si>
  <si>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</si>
  <si>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</si>
  <si>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</si>
  <si>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</si>
  <si>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</si>
  <si>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</si>
  <si>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</si>
  <si>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</si>
  <si>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</si>
  <si>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</si>
  <si>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</si>
  <si>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</si>
  <si>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</si>
  <si>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</si>
  <si>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</si>
  <si>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</si>
  <si>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</si>
  <si>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</si>
  <si>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</si>
  <si>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</si>
  <si>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</si>
  <si>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</si>
  <si>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</si>
  <si>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</si>
  <si>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</si>
  <si>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</si>
  <si>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</si>
  <si>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</si>
  <si>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</si>
  <si>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</si>
  <si>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</si>
  <si>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</si>
  <si>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</si>
  <si>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</si>
  <si>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</si>
  <si>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</si>
  <si>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</si>
  <si>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</si>
  <si>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</si>
  <si>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</si>
  <si>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</si>
  <si>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</si>
  <si>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</si>
  <si>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</si>
  <si>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</si>
  <si>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</si>
  <si>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</si>
  <si>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</si>
  <si>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</si>
  <si>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</si>
  <si>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</si>
  <si>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</si>
  <si>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</si>
  <si>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</si>
  <si>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</si>
  <si>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</si>
  <si>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</si>
  <si>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</si>
  <si>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</si>
  <si>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</si>
  <si>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</si>
  <si>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</si>
  <si>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</si>
  <si>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</si>
  <si>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</si>
  <si>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</si>
  <si>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</si>
  <si>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</si>
  <si>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</si>
  <si>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</si>
  <si>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</si>
  <si>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</si>
  <si>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</si>
  <si>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</si>
  <si>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</si>
  <si>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</si>
  <si>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</si>
  <si>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</si>
  <si>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</si>
  <si>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</si>
  <si>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</si>
  <si>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</si>
  <si>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</si>
  <si>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</si>
  <si>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</si>
  <si>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</si>
  <si>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</si>
  <si>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</si>
  <si>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</si>
  <si>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</si>
  <si>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</si>
  <si>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</si>
  <si>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</si>
  <si>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</si>
  <si>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</si>
  <si>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</si>
  <si>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</si>
  <si>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</si>
  <si>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</si>
  <si>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</si>
  <si>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</si>
  <si>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</si>
  <si>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</si>
  <si>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</si>
  <si>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</si>
  <si>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</si>
  <si>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</si>
  <si>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</si>
  <si>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</si>
  <si>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</si>
  <si>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</si>
  <si>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</si>
  <si>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</si>
  <si>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</si>
  <si>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</si>
  <si>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</si>
  <si>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</si>
  <si>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</si>
  <si>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</si>
  <si>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</si>
  <si>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</si>
  <si>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</si>
  <si>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</si>
  <si>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</si>
  <si>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</si>
  <si>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</si>
  <si>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</si>
  <si>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</si>
  <si>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</si>
  <si>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</si>
  <si>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</si>
  <si>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</si>
  <si>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</si>
  <si>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</si>
  <si>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</si>
  <si>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</si>
  <si>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</si>
  <si>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</si>
  <si>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</si>
  <si>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</si>
  <si>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</si>
  <si>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</si>
  <si>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</si>
  <si>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</si>
  <si>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</si>
  <si>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</si>
  <si>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</si>
  <si>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</si>
  <si>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</si>
  <si>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</si>
  <si>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</si>
  <si>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</si>
  <si>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</si>
  <si>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</si>
  <si>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</si>
  <si>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</si>
  <si>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</si>
  <si>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</si>
  <si>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</si>
  <si>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</si>
  <si>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</si>
  <si>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</si>
  <si>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</si>
  <si>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</si>
  <si>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</si>
  <si>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</si>
  <si>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</si>
  <si>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</si>
  <si>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</si>
  <si>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</si>
  <si>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</si>
  <si>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</si>
  <si>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</si>
  <si>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</si>
  <si>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</si>
  <si>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</si>
  <si>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</si>
  <si>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</si>
  <si>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</si>
  <si>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</si>
  <si>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</si>
  <si>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</si>
  <si>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</si>
  <si>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</si>
  <si>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</si>
  <si>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</si>
  <si>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</si>
  <si>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</si>
  <si>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</si>
  <si>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</si>
  <si>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</si>
  <si>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</si>
  <si>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</si>
  <si>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</si>
  <si>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</si>
  <si>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</si>
  <si>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</si>
  <si>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</si>
  <si>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</si>
  <si>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</si>
  <si>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</si>
  <si>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</si>
  <si>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</si>
  <si>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</si>
  <si>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</si>
  <si>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</si>
  <si>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</si>
  <si>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</si>
  <si>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</si>
  <si>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</si>
  <si>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</si>
  <si>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</si>
  <si>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</si>
  <si>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</si>
  <si>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</si>
  <si>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</si>
  <si>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</si>
  <si>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</si>
  <si>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</si>
  <si>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</si>
  <si>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</si>
  <si>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</si>
  <si>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</si>
  <si>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</si>
  <si>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</si>
  <si>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</si>
  <si>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</si>
  <si>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</si>
  <si>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</si>
  <si>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</si>
  <si>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</si>
  <si>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</si>
  <si>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</si>
  <si>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</si>
  <si>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</si>
  <si>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</si>
  <si>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</si>
  <si>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</si>
  <si>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</si>
  <si>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</si>
  <si>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</si>
  <si>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</si>
  <si>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</si>
  <si>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</si>
  <si>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</si>
  <si>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</si>
  <si>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</si>
  <si>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</si>
  <si>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</si>
  <si>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</si>
  <si>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</si>
  <si>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</si>
  <si>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</si>
  <si>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</si>
  <si>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</si>
  <si>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</si>
  <si>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</si>
  <si>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</si>
  <si>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</si>
  <si>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</si>
  <si>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</si>
  <si>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</si>
  <si>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</si>
  <si>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</si>
  <si>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</si>
  <si>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</si>
  <si>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</si>
  <si>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</si>
  <si>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</si>
  <si>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</si>
  <si>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</si>
  <si>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</si>
  <si>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</si>
  <si>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</si>
  <si>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</si>
  <si>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</si>
  <si>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</si>
  <si>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</si>
  <si>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</si>
  <si>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</si>
  <si>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</si>
  <si>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</si>
  <si>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</si>
  <si>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</si>
  <si>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</si>
  <si>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</si>
  <si>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</si>
  <si>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</si>
  <si>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</si>
  <si>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</si>
  <si>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</si>
  <si>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</si>
  <si>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</si>
  <si>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</si>
  <si>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</si>
  <si>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</si>
  <si>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</si>
  <si>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</si>
  <si>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</si>
  <si>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</si>
  <si>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</si>
  <si>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</si>
  <si>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</si>
  <si>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</si>
  <si>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</si>
  <si>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</si>
  <si>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</si>
  <si>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</si>
  <si>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</si>
  <si>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</si>
  <si>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</si>
  <si>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</si>
  <si>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</si>
  <si>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</si>
  <si>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</si>
  <si>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</si>
  <si>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</si>
  <si>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</si>
  <si>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</si>
  <si>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</si>
  <si>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</si>
  <si>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</si>
  <si>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</si>
  <si>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</si>
  <si>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</si>
  <si>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</si>
  <si>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</si>
  <si>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</si>
  <si>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</si>
  <si>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</si>
  <si>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</si>
  <si>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</si>
  <si>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</si>
  <si>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</si>
  <si>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</si>
  <si>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</si>
  <si>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</si>
  <si>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</si>
  <si>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</si>
  <si>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</si>
  <si>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</si>
  <si>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</si>
  <si>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</si>
  <si>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</si>
  <si>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</si>
  <si>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</si>
  <si>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</si>
  <si>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</si>
  <si>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</si>
  <si>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</si>
  <si>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</si>
  <si>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</si>
  <si>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</si>
  <si>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</si>
  <si>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</si>
  <si>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</si>
  <si>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</si>
  <si>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</si>
  <si>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</si>
  <si>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</si>
  <si>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</si>
  <si>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</si>
  <si>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</si>
  <si>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</si>
  <si>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</si>
  <si>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</si>
  <si>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</si>
  <si>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</si>
  <si>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</si>
  <si>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</si>
  <si>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</si>
  <si>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</si>
  <si>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</si>
  <si>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</si>
  <si>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</si>
  <si>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</si>
  <si>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</si>
  <si>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</si>
  <si>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</si>
  <si>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</si>
  <si>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</si>
  <si>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</si>
  <si>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</si>
  <si>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</si>
  <si>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</si>
  <si>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</si>
  <si>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</si>
  <si>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</si>
  <si>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</si>
  <si>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</si>
  <si>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</si>
  <si>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</si>
  <si>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</si>
  <si>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</si>
  <si>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</si>
  <si>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</si>
  <si>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</si>
  <si>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</si>
  <si>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</si>
  <si>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</si>
  <si>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</si>
  <si>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</si>
  <si>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</si>
  <si>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</si>
  <si>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</si>
  <si>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</si>
  <si>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</si>
  <si>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</si>
  <si>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</si>
  <si>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</si>
  <si>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</si>
  <si>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</si>
  <si>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</si>
  <si>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</si>
  <si>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</si>
  <si>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</si>
  <si>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</si>
  <si>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</si>
  <si>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</si>
  <si>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</si>
  <si>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</si>
  <si>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</si>
  <si>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</si>
  <si>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</si>
  <si>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</si>
  <si>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</si>
  <si>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</si>
  <si>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</si>
  <si>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</si>
  <si>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</si>
  <si>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</si>
  <si>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</si>
  <si>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</si>
  <si>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</si>
  <si>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</si>
  <si>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</si>
  <si>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</si>
  <si>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</si>
  <si>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</si>
  <si>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</si>
  <si>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</si>
  <si>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</si>
  <si>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</si>
  <si>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</si>
  <si>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</si>
  <si>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</si>
  <si>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</si>
  <si>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</si>
  <si>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</si>
  <si>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</si>
  <si>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</si>
  <si>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</si>
  <si>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</si>
  <si>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</si>
  <si>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</si>
  <si>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</si>
  <si>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</si>
  <si>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</si>
  <si>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</si>
  <si>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</si>
  <si>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</si>
  <si>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</si>
  <si>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</si>
  <si>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</si>
  <si>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</si>
  <si>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</si>
  <si>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</si>
  <si>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</si>
  <si>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</si>
  <si>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</si>
  <si>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</si>
  <si>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</si>
  <si>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</si>
  <si>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</si>
  <si>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</si>
  <si>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</si>
  <si>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</si>
  <si>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</si>
  <si>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</si>
  <si>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</si>
  <si>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</si>
  <si>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</si>
  <si>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</si>
  <si>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</si>
  <si>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</si>
  <si>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</si>
  <si>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</si>
  <si>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</si>
  <si>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</si>
  <si>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</si>
  <si>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</si>
  <si>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</si>
  <si>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</si>
  <si>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</si>
  <si>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</si>
  <si>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</si>
  <si>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</si>
  <si>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</si>
  <si>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</si>
  <si>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</si>
  <si>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</si>
  <si>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</si>
  <si>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</si>
  <si>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</si>
  <si>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</si>
  <si>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</si>
  <si>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</si>
  <si>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</si>
  <si>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</si>
  <si>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</si>
  <si>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</si>
  <si>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</si>
  <si>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</si>
  <si>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</si>
  <si>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</si>
  <si>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</si>
  <si>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</si>
  <si>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</si>
  <si>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</si>
  <si>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</si>
  <si>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</si>
  <si>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</si>
  <si>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</si>
  <si>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</si>
  <si>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</si>
  <si>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</si>
  <si>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</si>
  <si>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</si>
  <si>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</si>
  <si>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</si>
  <si>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</si>
  <si>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</si>
  <si>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</si>
  <si>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</si>
  <si>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</si>
  <si>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</si>
  <si>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</si>
  <si>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</si>
  <si>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</si>
  <si>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</si>
  <si>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</si>
  <si>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</si>
  <si>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</si>
  <si>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</si>
  <si>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</si>
  <si>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</si>
  <si>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</si>
  <si>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</si>
  <si>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</si>
  <si>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</si>
  <si>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</si>
  <si>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</si>
  <si>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</si>
  <si>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</si>
  <si>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</si>
  <si>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</si>
  <si>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</si>
  <si>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</si>
  <si>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</si>
  <si>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</si>
  <si>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</si>
  <si>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</si>
  <si>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</si>
  <si>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</si>
  <si>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</si>
  <si>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</si>
  <si>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</si>
  <si>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</si>
  <si>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</si>
  <si>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</si>
  <si>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</si>
  <si>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</si>
  <si>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</si>
  <si>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</si>
  <si>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</si>
  <si>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</si>
  <si>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</si>
  <si>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</si>
  <si>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</si>
  <si>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</si>
  <si>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</si>
  <si>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</si>
  <si>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</si>
  <si>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</si>
  <si>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</si>
  <si>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</si>
  <si>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</si>
  <si>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</si>
  <si>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</si>
  <si>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</si>
  <si>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</si>
  <si>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</si>
  <si>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</si>
  <si>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</si>
  <si>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</si>
  <si>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</si>
  <si>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</si>
  <si>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</si>
  <si>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</si>
  <si>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</si>
  <si>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</si>
  <si>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</si>
  <si>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</si>
  <si>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</si>
  <si>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</si>
  <si>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</si>
  <si>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</si>
  <si>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</si>
  <si>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</si>
  <si>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</si>
  <si>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</si>
  <si>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</si>
  <si>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</si>
  <si>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</si>
  <si>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</si>
  <si>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</si>
  <si>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</si>
  <si>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</si>
  <si>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</si>
  <si>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</si>
  <si>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</si>
  <si>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</si>
  <si>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</si>
  <si>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</si>
  <si>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</si>
  <si>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</si>
  <si>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</si>
  <si>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</si>
  <si>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</si>
  <si>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</si>
  <si>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</si>
  <si>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</si>
  <si>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</si>
  <si>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</si>
  <si>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</si>
  <si>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</si>
  <si>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</si>
  <si>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</si>
  <si>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</si>
  <si>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</si>
  <si>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</si>
  <si>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</si>
  <si>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</si>
  <si>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</si>
  <si>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</si>
  <si>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</si>
  <si>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</si>
  <si>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</si>
  <si>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</si>
  <si>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</si>
  <si>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</si>
  <si>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</si>
  <si>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</si>
  <si>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</si>
  <si>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</si>
  <si>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</si>
  <si>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</si>
  <si>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</si>
  <si>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</si>
  <si>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</si>
  <si>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</si>
  <si>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</si>
  <si>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</si>
  <si>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</si>
  <si>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</si>
  <si>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</si>
  <si>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</si>
  <si>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</si>
  <si>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</si>
  <si>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</si>
  <si>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</si>
  <si>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</si>
  <si>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</si>
  <si>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</si>
  <si>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</si>
  <si>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</si>
  <si>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</si>
  <si>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</si>
  <si>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</si>
  <si>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</si>
  <si>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</si>
  <si>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</si>
  <si>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</si>
  <si>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</si>
  <si>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</si>
  <si>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</si>
  <si>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</si>
  <si>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</si>
  <si>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</si>
  <si>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</si>
  <si>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</si>
  <si>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</si>
  <si>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</si>
  <si>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</si>
  <si>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</si>
  <si>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</si>
  <si>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</si>
  <si>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</si>
  <si>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</si>
  <si>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</si>
  <si>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</si>
  <si>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</si>
  <si>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</si>
  <si>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</si>
  <si>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</si>
  <si>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</si>
  <si>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</si>
  <si>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</si>
  <si>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</si>
  <si>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</si>
  <si>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</si>
  <si>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</si>
  <si>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</si>
  <si>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</si>
  <si>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</si>
  <si>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</si>
  <si>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</si>
  <si>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</si>
  <si>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</si>
  <si>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</si>
  <si>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</si>
  <si>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</si>
  <si>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</si>
  <si>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</si>
  <si>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</si>
  <si>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</si>
  <si>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</si>
  <si>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</si>
  <si>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</si>
  <si>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</si>
  <si>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</si>
  <si>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</si>
  <si>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</si>
  <si>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</si>
  <si>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</si>
  <si>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</si>
  <si>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</si>
  <si>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</si>
  <si>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</si>
  <si>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</si>
  <si>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</si>
  <si>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</si>
  <si>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</si>
  <si>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</si>
  <si>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</si>
  <si>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</si>
  <si>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</si>
  <si>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</si>
  <si>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</si>
  <si>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</si>
  <si>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</si>
  <si>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</si>
  <si>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</si>
  <si>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</si>
  <si>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</si>
  <si>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</si>
  <si>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</si>
  <si>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HVN Development LLC</t>
  </si>
  <si>
    <t>12432 Moorpark</t>
  </si>
  <si>
    <t>Tim Elliott - Community Housing Program Manager</t>
  </si>
  <si>
    <t>1200 W 7th St, 8th Floor</t>
  </si>
  <si>
    <t>213-808-8596</t>
  </si>
  <si>
    <t>timothy.elliott@lacity.org</t>
  </si>
  <si>
    <t>12432 Moorpark St</t>
  </si>
  <si>
    <t>2367-001-002,003</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</si>
  <si>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</si>
  <si>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</si>
  <si>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</si>
  <si>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</si>
  <si>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</si>
  <si>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</si>
  <si>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</si>
  <si>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</si>
  <si>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</si>
  <si>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</si>
  <si>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</si>
  <si>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</si>
  <si>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</si>
  <si>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</si>
  <si>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</si>
  <si>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</si>
  <si>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HVN 12432 Moorpark LLC</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</si>
  <si>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</si>
  <si>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</si>
  <si>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</si>
  <si>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</si>
  <si>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</si>
  <si>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</si>
  <si>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</si>
  <si>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</si>
  <si>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</si>
  <si>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</si>
  <si>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</si>
  <si>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</si>
  <si>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</si>
  <si>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</si>
  <si>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</si>
  <si>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</si>
  <si>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</si>
  <si>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</si>
  <si>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</si>
  <si>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</si>
  <si>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</si>
  <si>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</si>
  <si>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</si>
  <si>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</si>
  <si>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</si>
  <si>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</si>
  <si>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</si>
  <si>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</si>
  <si>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</si>
  <si>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</si>
  <si>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</si>
  <si>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</si>
  <si>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</si>
  <si>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</si>
  <si>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</si>
  <si>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</si>
  <si>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</si>
  <si>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</si>
  <si>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</si>
  <si>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</si>
  <si>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</si>
  <si>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</si>
  <si>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</si>
  <si>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</si>
  <si>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</si>
  <si>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12432 Moorpark LLC</t>
  </si>
  <si>
    <t>Francine Robbins</t>
  </si>
  <si>
    <t>Manager</t>
  </si>
  <si>
    <t>c/o West Coast Escrow, 190 N Canon Dr #210, Beverly Hills, CA 90210</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</si>
  <si>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</si>
  <si>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</si>
  <si>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</si>
  <si>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</si>
  <si>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</si>
  <si>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</si>
  <si>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</si>
  <si>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</si>
  <si>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</si>
  <si>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</si>
  <si>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</si>
  <si>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</si>
  <si>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</si>
  <si>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</si>
  <si>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</si>
  <si>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</si>
  <si>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</si>
  <si>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</si>
  <si>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</si>
  <si>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</si>
  <si>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</si>
  <si>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</si>
  <si>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</si>
  <si>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</si>
  <si>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</si>
  <si>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</si>
  <si>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</si>
  <si>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All units are affordability restricted due to density bonus</t>
  </si>
  <si>
    <t>C2-1VL-RIO with R4 Uses</t>
  </si>
  <si>
    <t>45 ft + ED-1 Approval of increased height of 33 ft; Total 78 ft</t>
  </si>
  <si>
    <t>General Commercial</t>
  </si>
  <si>
    <t>commercial tenants only - no relocation benefits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</si>
</sst>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8" xfId="8736" xr:uid="{55777CCB-D030-F54E-B417-6CDE697752D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4.bin"/><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3" t="s">
        <v>2608</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2"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c r="A18" s="205"/>
      <c r="B18" s="205"/>
      <c r="C18" s="206"/>
      <c r="D18" s="520" t="s">
        <v>2607</v>
      </c>
      <c r="E18" s="442"/>
      <c r="G18" s="442"/>
      <c r="H18" s="442"/>
      <c r="I18" s="442"/>
      <c r="J18" s="1265" t="s">
        <v>2606</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2"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c r="A31" s="205"/>
      <c r="B31" s="205"/>
      <c r="C31" s="206"/>
      <c r="D31" s="456"/>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 customHeight="1">
      <c r="A40" s="4"/>
      <c r="B40"/>
      <c r="C40" s="2"/>
      <c r="D40" s="4"/>
      <c r="E40" s="4" t="s">
        <v>653</v>
      </c>
      <c r="F40" s="1263" t="s">
        <v>1164</v>
      </c>
    </row>
    <row r="41" spans="1:38" s="1263"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73" t="s">
        <v>1280</v>
      </c>
      <c r="B1" s="2673"/>
      <c r="C1" s="2673"/>
      <c r="D1" s="2673"/>
      <c r="E1" s="2673"/>
      <c r="F1" s="2673"/>
      <c r="G1" s="2673"/>
      <c r="H1" s="2673"/>
      <c r="I1" s="2673"/>
      <c r="J1" s="2673"/>
      <c r="K1" s="2673"/>
      <c r="L1" s="2673"/>
      <c r="M1" s="2673"/>
      <c r="N1" s="2673"/>
      <c r="O1" s="2673"/>
      <c r="P1" s="2673"/>
      <c r="Q1" s="2673"/>
      <c r="R1" s="2673"/>
      <c r="S1" s="2673"/>
      <c r="T1" s="2673"/>
      <c r="U1" s="2673"/>
      <c r="V1" s="2673"/>
      <c r="W1" s="2673"/>
      <c r="X1" s="2673"/>
      <c r="Y1" s="2673"/>
      <c r="Z1" s="2673"/>
      <c r="AA1" s="2673"/>
      <c r="AB1" s="2673"/>
      <c r="AC1" s="2673"/>
      <c r="AD1" s="2673"/>
      <c r="AE1" s="2673"/>
      <c r="AF1" s="2673"/>
      <c r="AG1" s="2673"/>
      <c r="AH1" s="2673"/>
      <c r="AI1" s="2673"/>
      <c r="AJ1" s="2673"/>
      <c r="AK1" s="2673"/>
      <c r="AL1" s="2673"/>
      <c r="AM1" s="2673"/>
      <c r="AN1" s="2673"/>
    </row>
    <row r="2" spans="1:40" ht="13.05" customHeight="1" thickBot="1">
      <c r="A2" s="2674"/>
      <c r="B2" s="2674"/>
      <c r="C2" s="2674"/>
      <c r="D2" s="2674"/>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53" t="str">
        <f xml:space="preserve"> IF(T25=100%,'Sources and Basis Breakdown'!G2,'Sources and Basis Breakdown'!F2)</f>
        <v>30% PVC for New Const/
Rehabilitation
DDA/QCT
Building(s)</v>
      </c>
      <c r="U7" s="2653"/>
      <c r="V7" s="2653"/>
      <c r="W7" s="2653"/>
      <c r="X7" s="2653"/>
      <c r="Y7" s="2653" t="str">
        <f>IF(T25=100%,"",'Sources and Basis Breakdown'!G2)</f>
        <v>30% PVC for New Const/
Rehabilitation
NON-DDA/
NON-QCT Building(s)</v>
      </c>
      <c r="Z7" s="2653"/>
      <c r="AA7" s="2653"/>
      <c r="AB7" s="2653"/>
      <c r="AC7" s="2653"/>
      <c r="AD7" s="2653" t="str">
        <f xml:space="preserve"> IF(T25=100%, 'Sources and Basis Breakdown'!J2,'Sources and Basis Breakdown'!I2)</f>
        <v>30% PVC for Acquisition
DDA/QCT Building(s)</v>
      </c>
      <c r="AE7" s="2653"/>
      <c r="AF7" s="2653"/>
      <c r="AG7" s="2653"/>
      <c r="AH7" s="2653"/>
      <c r="AI7" s="2653" t="str">
        <f>IF(T25=100%,"",'Sources and Basis Breakdown'!J2)</f>
        <v>30% PVC for Acquisition
NON-DDA/
NON-QCT Building(s)</v>
      </c>
      <c r="AJ7" s="2653"/>
      <c r="AK7" s="2653"/>
      <c r="AL7" s="2653"/>
      <c r="AM7" s="2653"/>
    </row>
    <row r="8" spans="1:40" ht="13.05" customHeight="1">
      <c r="B8" s="408"/>
      <c r="T8" s="2653"/>
      <c r="U8" s="2653"/>
      <c r="V8" s="2653"/>
      <c r="W8" s="2653"/>
      <c r="X8" s="2653"/>
      <c r="Y8" s="2653"/>
      <c r="Z8" s="2653"/>
      <c r="AA8" s="2653"/>
      <c r="AB8" s="2653"/>
      <c r="AC8" s="2653"/>
      <c r="AD8" s="2653"/>
      <c r="AE8" s="2653"/>
      <c r="AF8" s="2653"/>
      <c r="AG8" s="2653"/>
      <c r="AH8" s="2653"/>
      <c r="AI8" s="2653"/>
      <c r="AJ8" s="2653"/>
      <c r="AK8" s="2653"/>
      <c r="AL8" s="2653"/>
      <c r="AM8" s="2653"/>
    </row>
    <row r="9" spans="1:40" ht="13.05" customHeight="1">
      <c r="B9" s="408"/>
      <c r="T9" s="2653"/>
      <c r="U9" s="2653"/>
      <c r="V9" s="2653"/>
      <c r="W9" s="2653"/>
      <c r="X9" s="2653"/>
      <c r="Y9" s="2653"/>
      <c r="Z9" s="2653"/>
      <c r="AA9" s="2653"/>
      <c r="AB9" s="2653"/>
      <c r="AC9" s="2653"/>
      <c r="AD9" s="2653"/>
      <c r="AE9" s="2653"/>
      <c r="AF9" s="2653"/>
      <c r="AG9" s="2653"/>
      <c r="AH9" s="2653"/>
      <c r="AI9" s="2653"/>
      <c r="AJ9" s="2653"/>
      <c r="AK9" s="2653"/>
      <c r="AL9" s="2653"/>
      <c r="AM9" s="2653"/>
    </row>
    <row r="10" spans="1:40" ht="13.05" customHeight="1">
      <c r="B10" s="409"/>
      <c r="C10" s="410"/>
      <c r="D10" s="410"/>
      <c r="E10" s="410"/>
      <c r="F10" s="410"/>
      <c r="G10" s="410"/>
      <c r="H10" s="410"/>
      <c r="I10" s="410"/>
      <c r="J10" s="410"/>
      <c r="K10" s="410"/>
      <c r="L10" s="410"/>
      <c r="M10" s="410"/>
      <c r="N10" s="410"/>
      <c r="O10" s="410"/>
      <c r="P10" s="410"/>
      <c r="Q10" s="410"/>
      <c r="R10" s="410"/>
      <c r="S10" s="410"/>
      <c r="T10" s="2653"/>
      <c r="U10" s="2653"/>
      <c r="V10" s="2653"/>
      <c r="W10" s="2653"/>
      <c r="X10" s="2653"/>
      <c r="Y10" s="2653"/>
      <c r="Z10" s="2653"/>
      <c r="AA10" s="2653"/>
      <c r="AB10" s="2653"/>
      <c r="AC10" s="2653"/>
      <c r="AD10" s="2653"/>
      <c r="AE10" s="2653"/>
      <c r="AF10" s="2653"/>
      <c r="AG10" s="2653"/>
      <c r="AH10" s="2653"/>
      <c r="AI10" s="2653"/>
      <c r="AJ10" s="2653"/>
      <c r="AK10" s="2653"/>
      <c r="AL10" s="2653"/>
      <c r="AM10" s="2653"/>
    </row>
    <row r="11" spans="1:40" ht="13.05" customHeight="1">
      <c r="B11" s="2639" t="s">
        <v>374</v>
      </c>
      <c r="C11" s="2640"/>
      <c r="D11" s="2640"/>
      <c r="E11" s="2640"/>
      <c r="F11" s="2640"/>
      <c r="G11" s="2640"/>
      <c r="H11" s="2640"/>
      <c r="I11" s="2640"/>
      <c r="J11" s="2640"/>
      <c r="K11" s="2640"/>
      <c r="L11" s="2640"/>
      <c r="M11" s="2640"/>
      <c r="N11" s="2640"/>
      <c r="O11" s="2640"/>
      <c r="P11" s="2640"/>
      <c r="Q11" s="2640"/>
      <c r="R11" s="2640"/>
      <c r="S11" s="2641"/>
      <c r="T11" s="2675">
        <f>IF('Sources and Basis Breakdown'!F107=0,'Sources and Basis Breakdown'!E107,'Sources and Basis Breakdown'!F107)</f>
        <v>27160486</v>
      </c>
      <c r="U11" s="2676"/>
      <c r="V11" s="2676"/>
      <c r="W11" s="2676"/>
      <c r="X11" s="2676"/>
      <c r="Y11" s="2675">
        <f>IF(Y7="",0,IF('Sources and Basis Breakdown'!G107+'Sources and Basis Breakdown'!F107='Sources and Basis Breakdown'!E107,'Sources and Basis Breakdown'!G107,0))</f>
        <v>0</v>
      </c>
      <c r="Z11" s="2676"/>
      <c r="AA11" s="2676"/>
      <c r="AB11" s="2676"/>
      <c r="AC11" s="2676"/>
      <c r="AD11" s="2676">
        <f>IF('Sources and Basis Breakdown'!I107=0,'Sources and Basis Breakdown'!H107,'Sources and Basis Breakdown'!I107)</f>
        <v>0</v>
      </c>
      <c r="AE11" s="2676"/>
      <c r="AF11" s="2676"/>
      <c r="AG11" s="2676"/>
      <c r="AH11" s="2676"/>
      <c r="AI11" s="2676">
        <f>IF(Y7="",0,IF('Sources and Basis Breakdown'!I107+'Sources and Basis Breakdown'!J107='Sources and Basis Breakdown'!H107,'Sources and Basis Breakdown'!J107,0))</f>
        <v>0</v>
      </c>
      <c r="AJ11" s="2676"/>
      <c r="AK11" s="2676"/>
      <c r="AL11" s="2676"/>
      <c r="AM11" s="2676"/>
    </row>
    <row r="12" spans="1:40" ht="13.05" customHeight="1">
      <c r="B12" s="2677" t="s">
        <v>497</v>
      </c>
      <c r="C12" s="1309"/>
      <c r="D12" s="1309"/>
      <c r="E12" s="1309"/>
      <c r="F12" s="1309"/>
      <c r="G12" s="1309"/>
      <c r="H12" s="1309"/>
      <c r="I12" s="1309"/>
      <c r="J12" s="1309"/>
      <c r="K12" s="1309"/>
      <c r="L12" s="1309"/>
      <c r="M12" s="1309"/>
      <c r="N12" s="1309"/>
      <c r="O12" s="1309"/>
      <c r="P12" s="1309"/>
      <c r="Q12" s="1309"/>
      <c r="R12" s="1309"/>
      <c r="S12" s="2678"/>
      <c r="T12" s="2668"/>
      <c r="U12" s="2669"/>
      <c r="V12" s="2669"/>
      <c r="W12" s="2669"/>
      <c r="X12" s="2670"/>
      <c r="Y12" s="2668"/>
      <c r="Z12" s="2669"/>
      <c r="AA12" s="2669"/>
      <c r="AB12" s="2669"/>
      <c r="AC12" s="2670"/>
      <c r="AD12" s="2668"/>
      <c r="AE12" s="2669"/>
      <c r="AF12" s="2669"/>
      <c r="AG12" s="2669"/>
      <c r="AH12" s="2670"/>
      <c r="AI12" s="2668"/>
      <c r="AJ12" s="2669"/>
      <c r="AK12" s="2669"/>
      <c r="AL12" s="2669"/>
      <c r="AM12" s="2670"/>
    </row>
    <row r="13" spans="1:40" ht="13.05" customHeight="1">
      <c r="B13" s="436"/>
      <c r="C13" s="2679" t="s">
        <v>498</v>
      </c>
      <c r="D13" s="2679"/>
      <c r="E13" s="2679"/>
      <c r="F13" s="2679"/>
      <c r="G13" s="2679"/>
      <c r="H13" s="2679"/>
      <c r="I13" s="2679"/>
      <c r="J13" s="2679"/>
      <c r="K13" s="2679"/>
      <c r="L13" s="2679"/>
      <c r="M13" s="2679"/>
      <c r="N13" s="2679"/>
      <c r="O13" s="2679"/>
      <c r="P13" s="2679"/>
      <c r="Q13" s="2679"/>
      <c r="R13" s="2679"/>
      <c r="S13" s="2680"/>
      <c r="T13" s="2671"/>
      <c r="U13" s="2672"/>
      <c r="V13" s="2672"/>
      <c r="W13" s="2672"/>
      <c r="X13" s="2672"/>
      <c r="Y13" s="2671"/>
      <c r="Z13" s="2672"/>
      <c r="AA13" s="2672"/>
      <c r="AB13" s="2672"/>
      <c r="AC13" s="2672"/>
      <c r="AD13" s="2672"/>
      <c r="AE13" s="2672"/>
      <c r="AF13" s="2672"/>
      <c r="AG13" s="2672"/>
      <c r="AH13" s="2672"/>
      <c r="AI13" s="2672"/>
      <c r="AJ13" s="2672"/>
      <c r="AK13" s="2672"/>
      <c r="AL13" s="2672"/>
      <c r="AM13" s="2672"/>
    </row>
    <row r="14" spans="1:40" ht="13.05" customHeight="1">
      <c r="B14" s="436"/>
      <c r="C14" s="2679" t="s">
        <v>499</v>
      </c>
      <c r="D14" s="2679"/>
      <c r="E14" s="2679"/>
      <c r="F14" s="2679"/>
      <c r="G14" s="2679"/>
      <c r="H14" s="2679"/>
      <c r="I14" s="2679"/>
      <c r="J14" s="2679"/>
      <c r="K14" s="2679"/>
      <c r="L14" s="2679"/>
      <c r="M14" s="2679"/>
      <c r="N14" s="2679"/>
      <c r="O14" s="2679"/>
      <c r="P14" s="2679"/>
      <c r="Q14" s="2679"/>
      <c r="R14" s="2679"/>
      <c r="S14" s="2680"/>
      <c r="T14" s="2661"/>
      <c r="U14" s="2662"/>
      <c r="V14" s="2662"/>
      <c r="W14" s="2662"/>
      <c r="X14" s="2662"/>
      <c r="Y14" s="2661"/>
      <c r="Z14" s="2662"/>
      <c r="AA14" s="2662"/>
      <c r="AB14" s="2662"/>
      <c r="AC14" s="2662"/>
      <c r="AD14" s="2662"/>
      <c r="AE14" s="2662"/>
      <c r="AF14" s="2662"/>
      <c r="AG14" s="2662"/>
      <c r="AH14" s="2662"/>
      <c r="AI14" s="2662"/>
      <c r="AJ14" s="2662"/>
      <c r="AK14" s="2662"/>
      <c r="AL14" s="2662"/>
      <c r="AM14" s="2662"/>
    </row>
    <row r="15" spans="1:40" ht="13.05" customHeight="1">
      <c r="B15" s="436"/>
      <c r="C15" s="2679" t="s">
        <v>500</v>
      </c>
      <c r="D15" s="2679"/>
      <c r="E15" s="2679"/>
      <c r="F15" s="2679"/>
      <c r="G15" s="2679"/>
      <c r="H15" s="2679"/>
      <c r="I15" s="2679"/>
      <c r="J15" s="2679"/>
      <c r="K15" s="2679"/>
      <c r="L15" s="2679"/>
      <c r="M15" s="2679"/>
      <c r="N15" s="2679"/>
      <c r="O15" s="2679"/>
      <c r="P15" s="2679"/>
      <c r="Q15" s="2679"/>
      <c r="R15" s="2679"/>
      <c r="S15" s="2680"/>
      <c r="T15" s="2661"/>
      <c r="U15" s="2662"/>
      <c r="V15" s="2662"/>
      <c r="W15" s="2662"/>
      <c r="X15" s="2662"/>
      <c r="Y15" s="2661"/>
      <c r="Z15" s="2662"/>
      <c r="AA15" s="2662"/>
      <c r="AB15" s="2662"/>
      <c r="AC15" s="2662"/>
      <c r="AD15" s="2662"/>
      <c r="AE15" s="2662"/>
      <c r="AF15" s="2662"/>
      <c r="AG15" s="2662"/>
      <c r="AH15" s="2662"/>
      <c r="AI15" s="2662"/>
      <c r="AJ15" s="2662"/>
      <c r="AK15" s="2662"/>
      <c r="AL15" s="2662"/>
      <c r="AM15" s="2662"/>
    </row>
    <row r="16" spans="1:40" ht="13.05" customHeight="1">
      <c r="B16" s="436"/>
      <c r="C16" s="2679" t="s">
        <v>805</v>
      </c>
      <c r="D16" s="2679"/>
      <c r="E16" s="2679"/>
      <c r="F16" s="2679"/>
      <c r="G16" s="2679"/>
      <c r="H16" s="2679"/>
      <c r="I16" s="2679"/>
      <c r="J16" s="2679"/>
      <c r="K16" s="2679"/>
      <c r="L16" s="2679"/>
      <c r="M16" s="2679"/>
      <c r="N16" s="2679"/>
      <c r="O16" s="2679"/>
      <c r="P16" s="2679"/>
      <c r="Q16" s="2679"/>
      <c r="R16" s="2679"/>
      <c r="S16" s="2680"/>
      <c r="T16" s="2661"/>
      <c r="U16" s="2662"/>
      <c r="V16" s="2662"/>
      <c r="W16" s="2662"/>
      <c r="X16" s="2662"/>
      <c r="Y16" s="2661"/>
      <c r="Z16" s="2662"/>
      <c r="AA16" s="2662"/>
      <c r="AB16" s="2662"/>
      <c r="AC16" s="2662"/>
      <c r="AD16" s="2662"/>
      <c r="AE16" s="2662"/>
      <c r="AF16" s="2662"/>
      <c r="AG16" s="2662"/>
      <c r="AH16" s="2662"/>
      <c r="AI16" s="2662"/>
      <c r="AJ16" s="2662"/>
      <c r="AK16" s="2662"/>
      <c r="AL16" s="2662"/>
      <c r="AM16" s="2662"/>
    </row>
    <row r="17" spans="1:40" ht="13.05" customHeight="1">
      <c r="B17" s="436"/>
      <c r="C17" s="2679" t="s">
        <v>501</v>
      </c>
      <c r="D17" s="2679"/>
      <c r="E17" s="2679"/>
      <c r="F17" s="2679"/>
      <c r="G17" s="2679"/>
      <c r="H17" s="2679"/>
      <c r="I17" s="2679"/>
      <c r="J17" s="2679"/>
      <c r="K17" s="2679"/>
      <c r="L17" s="2679"/>
      <c r="M17" s="2679"/>
      <c r="N17" s="2679"/>
      <c r="O17" s="2679"/>
      <c r="P17" s="2679"/>
      <c r="Q17" s="2679"/>
      <c r="R17" s="2679"/>
      <c r="S17" s="2680"/>
      <c r="T17" s="2661"/>
      <c r="U17" s="2662"/>
      <c r="V17" s="2662"/>
      <c r="W17" s="2662"/>
      <c r="X17" s="2662"/>
      <c r="Y17" s="2661"/>
      <c r="Z17" s="2662"/>
      <c r="AA17" s="2662"/>
      <c r="AB17" s="2662"/>
      <c r="AC17" s="2662"/>
      <c r="AD17" s="2662"/>
      <c r="AE17" s="2662"/>
      <c r="AF17" s="2662"/>
      <c r="AG17" s="2662"/>
      <c r="AH17" s="2662"/>
      <c r="AI17" s="2662"/>
      <c r="AJ17" s="2662"/>
      <c r="AK17" s="2662"/>
      <c r="AL17" s="2662"/>
      <c r="AM17" s="2662"/>
    </row>
    <row r="18" spans="1:40" ht="13.05" customHeight="1">
      <c r="A18"/>
      <c r="B18" s="1152"/>
      <c r="C18" s="1564" t="s">
        <v>960</v>
      </c>
      <c r="D18" s="1564"/>
      <c r="E18" s="1564"/>
      <c r="F18" s="1564"/>
      <c r="G18" s="1564"/>
      <c r="H18" s="1564"/>
      <c r="I18" s="1564"/>
      <c r="J18" s="1564"/>
      <c r="K18" s="1564"/>
      <c r="L18" s="1564"/>
      <c r="M18" s="1564"/>
      <c r="N18" s="1564"/>
      <c r="O18" s="1564"/>
      <c r="P18" s="1564"/>
      <c r="Q18" s="1564"/>
      <c r="R18" s="1564"/>
      <c r="S18" s="1565"/>
      <c r="T18" s="2661"/>
      <c r="U18" s="2662"/>
      <c r="V18" s="2662"/>
      <c r="W18" s="2662"/>
      <c r="X18" s="2662"/>
      <c r="Y18" s="2661"/>
      <c r="Z18" s="2662"/>
      <c r="AA18" s="2662"/>
      <c r="AB18" s="2662"/>
      <c r="AC18" s="2662"/>
      <c r="AD18" s="2662"/>
      <c r="AE18" s="2662"/>
      <c r="AF18" s="2662"/>
      <c r="AG18" s="2662"/>
      <c r="AH18" s="2662"/>
      <c r="AI18" s="2662"/>
      <c r="AJ18" s="2662"/>
      <c r="AK18" s="2662"/>
      <c r="AL18" s="2662"/>
      <c r="AM18" s="2662"/>
    </row>
    <row r="19" spans="1:40" ht="13.05" customHeight="1">
      <c r="B19" s="1152"/>
      <c r="C19" s="1564" t="s">
        <v>960</v>
      </c>
      <c r="D19" s="1564"/>
      <c r="E19" s="1564"/>
      <c r="F19" s="1564"/>
      <c r="G19" s="1564"/>
      <c r="H19" s="1564"/>
      <c r="I19" s="1564"/>
      <c r="J19" s="1564"/>
      <c r="K19" s="1564"/>
      <c r="L19" s="1564"/>
      <c r="M19" s="1564"/>
      <c r="N19" s="1564"/>
      <c r="O19" s="1564"/>
      <c r="P19" s="1564"/>
      <c r="Q19" s="1564"/>
      <c r="R19" s="1564"/>
      <c r="S19" s="1565"/>
      <c r="T19" s="2661"/>
      <c r="U19" s="2662"/>
      <c r="V19" s="2662"/>
      <c r="W19" s="2662"/>
      <c r="X19" s="2662"/>
      <c r="Y19" s="2661"/>
      <c r="Z19" s="2662"/>
      <c r="AA19" s="2662"/>
      <c r="AB19" s="2662"/>
      <c r="AC19" s="2662"/>
      <c r="AD19" s="2662"/>
      <c r="AE19" s="2662"/>
      <c r="AF19" s="2662"/>
      <c r="AG19" s="2662"/>
      <c r="AH19" s="2662"/>
      <c r="AI19" s="2662"/>
      <c r="AJ19" s="2662"/>
      <c r="AK19" s="2662"/>
      <c r="AL19" s="2662"/>
      <c r="AM19" s="2662"/>
    </row>
    <row r="20" spans="1:40" ht="13.05" customHeight="1">
      <c r="B20" s="2639" t="s">
        <v>502</v>
      </c>
      <c r="C20" s="2640"/>
      <c r="D20" s="2640"/>
      <c r="E20" s="2640"/>
      <c r="F20" s="2640"/>
      <c r="G20" s="2640"/>
      <c r="H20" s="2640"/>
      <c r="I20" s="2640"/>
      <c r="J20" s="2640"/>
      <c r="K20" s="2640"/>
      <c r="L20" s="2640"/>
      <c r="M20" s="2640"/>
      <c r="N20" s="2640"/>
      <c r="O20" s="2640"/>
      <c r="P20" s="2640"/>
      <c r="Q20" s="2640"/>
      <c r="R20" s="2640"/>
      <c r="S20" s="2641"/>
      <c r="T20" s="2652">
        <f>SUM(T13:X19)</f>
        <v>0</v>
      </c>
      <c r="U20" s="2633"/>
      <c r="V20" s="2633"/>
      <c r="W20" s="2633"/>
      <c r="X20" s="2633"/>
      <c r="Y20" s="2652">
        <f>SUM(Y13:AC19)</f>
        <v>0</v>
      </c>
      <c r="Z20" s="2633"/>
      <c r="AA20" s="2633"/>
      <c r="AB20" s="2633"/>
      <c r="AC20" s="2633"/>
      <c r="AD20" s="2643">
        <f>SUM(AD13:AH19)</f>
        <v>0</v>
      </c>
      <c r="AE20" s="2651"/>
      <c r="AF20" s="2651"/>
      <c r="AG20" s="2651"/>
      <c r="AH20" s="2652"/>
      <c r="AI20" s="2643">
        <f>SUM(AI13:AM19)</f>
        <v>0</v>
      </c>
      <c r="AJ20" s="2651"/>
      <c r="AK20" s="2651"/>
      <c r="AL20" s="2651"/>
      <c r="AM20" s="2652"/>
    </row>
    <row r="21" spans="1:40" ht="13.05" customHeight="1">
      <c r="B21" s="2639" t="s">
        <v>1263</v>
      </c>
      <c r="C21" s="2640"/>
      <c r="D21" s="2640"/>
      <c r="E21" s="2640"/>
      <c r="F21" s="2640"/>
      <c r="G21" s="2640"/>
      <c r="H21" s="2640"/>
      <c r="I21" s="2640"/>
      <c r="J21" s="2640"/>
      <c r="K21" s="2640"/>
      <c r="L21" s="2640"/>
      <c r="M21" s="2640"/>
      <c r="N21" s="2640"/>
      <c r="O21" s="2640"/>
      <c r="P21" s="2640"/>
      <c r="Q21" s="2640"/>
      <c r="R21" s="2640"/>
      <c r="S21" s="2641"/>
      <c r="T21" s="2661"/>
      <c r="U21" s="2662"/>
      <c r="V21" s="2662"/>
      <c r="W21" s="2662"/>
      <c r="X21" s="2662"/>
      <c r="Y21" s="2661"/>
      <c r="Z21" s="2662"/>
      <c r="AA21" s="2662"/>
      <c r="AB21" s="2662"/>
      <c r="AC21" s="2662"/>
      <c r="AD21" s="2668"/>
      <c r="AE21" s="2669"/>
      <c r="AF21" s="2669"/>
      <c r="AG21" s="2669"/>
      <c r="AH21" s="2670"/>
      <c r="AI21" s="2668"/>
      <c r="AJ21" s="2669"/>
      <c r="AK21" s="2669"/>
      <c r="AL21" s="2669"/>
      <c r="AM21" s="2670"/>
    </row>
    <row r="22" spans="1:40" ht="13.05" customHeight="1">
      <c r="B22" s="2639" t="s">
        <v>503</v>
      </c>
      <c r="C22" s="2640"/>
      <c r="D22" s="2640"/>
      <c r="E22" s="2640"/>
      <c r="F22" s="2640"/>
      <c r="G22" s="2640"/>
      <c r="H22" s="2640"/>
      <c r="I22" s="2640"/>
      <c r="J22" s="2640"/>
      <c r="K22" s="2640"/>
      <c r="L22" s="2640"/>
      <c r="M22" s="2640"/>
      <c r="N22" s="2640"/>
      <c r="O22" s="2640"/>
      <c r="P22" s="2640"/>
      <c r="Q22" s="2640"/>
      <c r="R22" s="2640"/>
      <c r="S22" s="2641"/>
      <c r="T22" s="2657">
        <f>(ABS(T20)+ABS(T21))*-1</f>
        <v>0</v>
      </c>
      <c r="U22" s="2658"/>
      <c r="V22" s="2658"/>
      <c r="W22" s="2658"/>
      <c r="X22" s="2658"/>
      <c r="Y22" s="2657">
        <f>(Y20+Y21)*-1</f>
        <v>0</v>
      </c>
      <c r="Z22" s="2658"/>
      <c r="AA22" s="2658"/>
      <c r="AB22" s="2658"/>
      <c r="AC22" s="2658"/>
      <c r="AD22" s="2659">
        <f>(AD20)*-1</f>
        <v>0</v>
      </c>
      <c r="AE22" s="2660"/>
      <c r="AF22" s="2660"/>
      <c r="AG22" s="2660"/>
      <c r="AH22" s="2657"/>
      <c r="AI22" s="2659">
        <f>(AI20)*-1</f>
        <v>0</v>
      </c>
      <c r="AJ22" s="2660"/>
      <c r="AK22" s="2660"/>
      <c r="AL22" s="2660"/>
      <c r="AM22" s="2657"/>
    </row>
    <row r="23" spans="1:40" ht="13.05" customHeight="1">
      <c r="B23" s="2639" t="s">
        <v>504</v>
      </c>
      <c r="C23" s="2640"/>
      <c r="D23" s="2640"/>
      <c r="E23" s="2640"/>
      <c r="F23" s="2640"/>
      <c r="G23" s="2640"/>
      <c r="H23" s="2640"/>
      <c r="I23" s="2640"/>
      <c r="J23" s="2640"/>
      <c r="K23" s="2640"/>
      <c r="L23" s="2640"/>
      <c r="M23" s="2640"/>
      <c r="N23" s="2640"/>
      <c r="O23" s="2640"/>
      <c r="P23" s="2640"/>
      <c r="Q23" s="2640"/>
      <c r="R23" s="2640"/>
      <c r="S23" s="2641"/>
      <c r="T23" s="2652">
        <f>T11+T22</f>
        <v>27160486</v>
      </c>
      <c r="U23" s="2633"/>
      <c r="V23" s="2633"/>
      <c r="W23" s="2633"/>
      <c r="X23" s="2633"/>
      <c r="Y23" s="2652">
        <f>Y11+Y22</f>
        <v>0</v>
      </c>
      <c r="Z23" s="2633"/>
      <c r="AA23" s="2633"/>
      <c r="AB23" s="2633"/>
      <c r="AC23" s="2633"/>
      <c r="AD23" s="2652">
        <f>AD11+AD22</f>
        <v>0</v>
      </c>
      <c r="AE23" s="2633"/>
      <c r="AF23" s="2633"/>
      <c r="AG23" s="2633"/>
      <c r="AH23" s="2633"/>
      <c r="AI23" s="2652">
        <f>AI11+AI22</f>
        <v>0</v>
      </c>
      <c r="AJ23" s="2633"/>
      <c r="AK23" s="2633"/>
      <c r="AL23" s="2633"/>
      <c r="AM23" s="2633"/>
    </row>
    <row r="24" spans="1:40" ht="13.05" customHeight="1">
      <c r="B24" s="2639" t="s">
        <v>961</v>
      </c>
      <c r="C24" s="2640"/>
      <c r="D24" s="2640"/>
      <c r="E24" s="2640"/>
      <c r="F24" s="2640"/>
      <c r="G24" s="2640"/>
      <c r="H24" s="2640"/>
      <c r="I24" s="2640"/>
      <c r="J24" s="2640"/>
      <c r="K24" s="2640"/>
      <c r="L24" s="2640"/>
      <c r="M24" s="2640"/>
      <c r="N24" s="2640"/>
      <c r="O24" s="2640"/>
      <c r="P24" s="2640"/>
      <c r="Q24" s="2640"/>
      <c r="R24" s="2640"/>
      <c r="S24" s="2641"/>
      <c r="T24" s="2643">
        <f>Application!AJ1053</f>
        <v>93146400</v>
      </c>
      <c r="U24" s="2651"/>
      <c r="V24" s="2651"/>
      <c r="W24" s="2651"/>
      <c r="X24" s="2651"/>
      <c r="Y24" s="2651"/>
      <c r="Z24" s="2651"/>
      <c r="AA24" s="2651"/>
      <c r="AB24" s="2651"/>
      <c r="AC24" s="2651"/>
      <c r="AD24" s="2651"/>
      <c r="AE24" s="2651"/>
      <c r="AF24" s="2651"/>
      <c r="AG24" s="2651"/>
      <c r="AH24" s="2651"/>
      <c r="AI24" s="2651"/>
      <c r="AJ24" s="2651"/>
      <c r="AK24" s="2651"/>
      <c r="AL24" s="2651"/>
      <c r="AM24" s="2652"/>
    </row>
    <row r="25" spans="1:40" ht="13.05" customHeight="1">
      <c r="B25" s="2683" t="s">
        <v>1264</v>
      </c>
      <c r="C25" s="2684"/>
      <c r="D25" s="2684"/>
      <c r="E25" s="2684"/>
      <c r="F25" s="2684"/>
      <c r="G25" s="2684"/>
      <c r="H25" s="2684"/>
      <c r="I25" s="2684"/>
      <c r="J25" s="2684"/>
      <c r="K25" s="2684"/>
      <c r="L25" s="2684"/>
      <c r="M25" s="2684"/>
      <c r="N25" s="2684"/>
      <c r="O25" s="2684"/>
      <c r="P25" s="2684"/>
      <c r="Q25" s="2684"/>
      <c r="R25" s="2684"/>
      <c r="S25" s="2685"/>
      <c r="T25" s="2665">
        <f>IF(OR(Application!T196="yes",Application!T195="yes"),1.3,1)</f>
        <v>1.3</v>
      </c>
      <c r="U25" s="2666"/>
      <c r="V25" s="2666"/>
      <c r="W25" s="2666"/>
      <c r="X25" s="2666"/>
      <c r="Y25" s="2665">
        <v>1</v>
      </c>
      <c r="Z25" s="2666"/>
      <c r="AA25" s="2666"/>
      <c r="AB25" s="2666"/>
      <c r="AC25" s="2666"/>
      <c r="AD25" s="2665">
        <v>1</v>
      </c>
      <c r="AE25" s="2666"/>
      <c r="AF25" s="2666"/>
      <c r="AG25" s="2666"/>
      <c r="AH25" s="2667"/>
      <c r="AI25" s="2665">
        <v>1</v>
      </c>
      <c r="AJ25" s="2666"/>
      <c r="AK25" s="2666"/>
      <c r="AL25" s="2666"/>
      <c r="AM25" s="2667"/>
    </row>
    <row r="26" spans="1:40" ht="13.05" customHeight="1">
      <c r="B26" s="2639" t="s">
        <v>505</v>
      </c>
      <c r="C26" s="2640"/>
      <c r="D26" s="2640"/>
      <c r="E26" s="2640"/>
      <c r="F26" s="2640"/>
      <c r="G26" s="2640"/>
      <c r="H26" s="2640"/>
      <c r="I26" s="2640"/>
      <c r="J26" s="2640"/>
      <c r="K26" s="2640"/>
      <c r="L26" s="2640"/>
      <c r="M26" s="2640"/>
      <c r="N26" s="2640"/>
      <c r="O26" s="2640"/>
      <c r="P26" s="2640"/>
      <c r="Q26" s="2640"/>
      <c r="R26" s="2640"/>
      <c r="S26" s="2641"/>
      <c r="T26" s="2652">
        <f>T23*T25</f>
        <v>35308631.800000004</v>
      </c>
      <c r="U26" s="2633"/>
      <c r="V26" s="2633"/>
      <c r="W26" s="2633"/>
      <c r="X26" s="2633"/>
      <c r="Y26" s="2652">
        <f>Y23*Y25</f>
        <v>0</v>
      </c>
      <c r="Z26" s="2633"/>
      <c r="AA26" s="2633"/>
      <c r="AB26" s="2633"/>
      <c r="AC26" s="2633"/>
      <c r="AD26" s="2652">
        <f>AD23*AD25</f>
        <v>0</v>
      </c>
      <c r="AE26" s="2633"/>
      <c r="AF26" s="2633"/>
      <c r="AG26" s="2633"/>
      <c r="AH26" s="2633"/>
      <c r="AI26" s="2652">
        <f>AI23*AI25</f>
        <v>0</v>
      </c>
      <c r="AJ26" s="2633"/>
      <c r="AK26" s="2633"/>
      <c r="AL26" s="2633"/>
      <c r="AM26" s="2633"/>
    </row>
    <row r="27" spans="1:40" ht="13.05" customHeight="1">
      <c r="A27" s="411"/>
      <c r="B27" s="2686" t="s">
        <v>425</v>
      </c>
      <c r="C27" s="2687"/>
      <c r="D27" s="2687"/>
      <c r="E27" s="2687"/>
      <c r="F27" s="2687"/>
      <c r="G27" s="2687"/>
      <c r="H27" s="2687"/>
      <c r="I27" s="2687"/>
      <c r="J27" s="2687"/>
      <c r="K27" s="2687"/>
      <c r="L27" s="2687"/>
      <c r="M27" s="2687"/>
      <c r="N27" s="2687"/>
      <c r="O27" s="2687"/>
      <c r="P27" s="2687"/>
      <c r="Q27" s="2687"/>
      <c r="R27" s="2687"/>
      <c r="S27" s="2688"/>
      <c r="T27" s="2663">
        <f>Application!$AG$445</f>
        <v>1</v>
      </c>
      <c r="U27" s="2664"/>
      <c r="V27" s="2664"/>
      <c r="W27" s="2664"/>
      <c r="X27" s="2664"/>
      <c r="Y27" s="2663">
        <f>Application!$AG$445</f>
        <v>1</v>
      </c>
      <c r="Z27" s="2664"/>
      <c r="AA27" s="2664"/>
      <c r="AB27" s="2664"/>
      <c r="AC27" s="2664"/>
      <c r="AD27" s="2663">
        <f>Application!$AG$445</f>
        <v>1</v>
      </c>
      <c r="AE27" s="2664"/>
      <c r="AF27" s="2664"/>
      <c r="AG27" s="2664"/>
      <c r="AH27" s="2664"/>
      <c r="AI27" s="2663">
        <f>Application!$AG$445</f>
        <v>1</v>
      </c>
      <c r="AJ27" s="2664"/>
      <c r="AK27" s="2664"/>
      <c r="AL27" s="2664"/>
      <c r="AM27" s="2664"/>
    </row>
    <row r="28" spans="1:40" ht="13.05" customHeight="1">
      <c r="A28" s="405"/>
      <c r="B28" s="2639" t="s">
        <v>506</v>
      </c>
      <c r="C28" s="2640"/>
      <c r="D28" s="2640"/>
      <c r="E28" s="2640"/>
      <c r="F28" s="2640"/>
      <c r="G28" s="2640"/>
      <c r="H28" s="2640"/>
      <c r="I28" s="2640"/>
      <c r="J28" s="2640"/>
      <c r="K28" s="2640"/>
      <c r="L28" s="2640"/>
      <c r="M28" s="2640"/>
      <c r="N28" s="2640"/>
      <c r="O28" s="2640"/>
      <c r="P28" s="2640"/>
      <c r="Q28" s="2640"/>
      <c r="R28" s="2640"/>
      <c r="S28" s="2641"/>
      <c r="T28" s="2652">
        <f>IF(ISERROR((T26*T27)),0,(T26*T27))</f>
        <v>35308631.800000004</v>
      </c>
      <c r="U28" s="2633"/>
      <c r="V28" s="2633"/>
      <c r="W28" s="2633"/>
      <c r="X28" s="2633"/>
      <c r="Y28" s="2652">
        <f>IF(ISERROR((Y26*Y27)),0,(Y26*Y27))</f>
        <v>0</v>
      </c>
      <c r="Z28" s="2633"/>
      <c r="AA28" s="2633"/>
      <c r="AB28" s="2633"/>
      <c r="AC28" s="2633"/>
      <c r="AD28" s="2652">
        <f>IF(ISERROR((AD26*AD27)),0,(AD26*AD27))</f>
        <v>0</v>
      </c>
      <c r="AE28" s="2633"/>
      <c r="AF28" s="2633"/>
      <c r="AG28" s="2633"/>
      <c r="AH28" s="2633"/>
      <c r="AI28" s="2652">
        <f>IF(ISERROR((AI26*AI27)),0,(AI26*AI27))</f>
        <v>0</v>
      </c>
      <c r="AJ28" s="2633"/>
      <c r="AK28" s="2633"/>
      <c r="AL28" s="2633"/>
      <c r="AM28" s="2633"/>
    </row>
    <row r="29" spans="1:40" ht="13.05" customHeight="1">
      <c r="B29" s="2639" t="s">
        <v>523</v>
      </c>
      <c r="C29" s="2640"/>
      <c r="D29" s="2640"/>
      <c r="E29" s="2640"/>
      <c r="F29" s="2640"/>
      <c r="G29" s="2640"/>
      <c r="H29" s="2640"/>
      <c r="I29" s="2640"/>
      <c r="J29" s="2640"/>
      <c r="K29" s="2640"/>
      <c r="L29" s="2640"/>
      <c r="M29" s="2640"/>
      <c r="N29" s="2640"/>
      <c r="O29" s="2640"/>
      <c r="P29" s="2640"/>
      <c r="Q29" s="2640"/>
      <c r="R29" s="2640"/>
      <c r="S29" s="2641"/>
      <c r="T29" s="2643">
        <f>T28+Y28+AD28+AI28</f>
        <v>35308631.800000004</v>
      </c>
      <c r="U29" s="2651"/>
      <c r="V29" s="2651"/>
      <c r="W29" s="2651"/>
      <c r="X29" s="2651"/>
      <c r="Y29" s="2651"/>
      <c r="Z29" s="2651"/>
      <c r="AA29" s="2651"/>
      <c r="AB29" s="2651"/>
      <c r="AC29" s="2651"/>
      <c r="AD29" s="2651"/>
      <c r="AE29" s="2651"/>
      <c r="AF29" s="2651"/>
      <c r="AG29" s="2651"/>
      <c r="AH29" s="2651"/>
      <c r="AI29" s="2651"/>
      <c r="AJ29" s="2651"/>
      <c r="AK29" s="2651"/>
      <c r="AL29" s="2651"/>
      <c r="AM29" s="2652"/>
    </row>
    <row r="30" spans="1:40" ht="13.05" customHeight="1">
      <c r="B30" s="2656" t="s">
        <v>1266</v>
      </c>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40" ht="13.05" customHeight="1">
      <c r="B31" s="2656" t="s">
        <v>1265</v>
      </c>
      <c r="C31" s="2656"/>
      <c r="D31" s="2656"/>
      <c r="E31" s="2656"/>
      <c r="F31" s="2656"/>
      <c r="G31" s="2656"/>
      <c r="H31" s="2656"/>
      <c r="I31" s="2656"/>
      <c r="J31" s="2656"/>
      <c r="K31" s="2656"/>
      <c r="L31" s="2656"/>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3" t="s">
        <v>1154</v>
      </c>
      <c r="Z35" s="2653"/>
      <c r="AA35" s="2653"/>
      <c r="AB35" s="2653"/>
      <c r="AC35" s="2653"/>
      <c r="AD35" s="2654" t="s">
        <v>368</v>
      </c>
      <c r="AE35" s="2654"/>
      <c r="AF35" s="2654"/>
      <c r="AG35" s="2654"/>
      <c r="AH35" s="2654"/>
    </row>
    <row r="36" spans="1:76" ht="13.05" customHeight="1">
      <c r="B36" s="408"/>
      <c r="X36" s="413"/>
      <c r="Y36" s="2653"/>
      <c r="Z36" s="2653"/>
      <c r="AA36" s="2653"/>
      <c r="AB36" s="2653"/>
      <c r="AC36" s="2653"/>
      <c r="AD36" s="2654"/>
      <c r="AE36" s="2654"/>
      <c r="AF36" s="2654"/>
      <c r="AG36" s="2654"/>
      <c r="AH36" s="2654"/>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3"/>
      <c r="Z37" s="2653"/>
      <c r="AA37" s="2653"/>
      <c r="AB37" s="2653"/>
      <c r="AC37" s="2653"/>
      <c r="AD37" s="2654"/>
      <c r="AE37" s="2654"/>
      <c r="AF37" s="2654"/>
      <c r="AG37" s="2654"/>
      <c r="AH37" s="2654"/>
    </row>
    <row r="38" spans="1:76" ht="13.05" customHeight="1">
      <c r="A38" s="405"/>
      <c r="B38" s="2639" t="s">
        <v>506</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1"/>
      <c r="Y38" s="2633">
        <f>IF(T24&gt;=(T23+Y23+AD23+AI23),T28+Y28,0)</f>
        <v>35308631.800000004</v>
      </c>
      <c r="Z38" s="2633"/>
      <c r="AA38" s="2633"/>
      <c r="AB38" s="2633"/>
      <c r="AC38" s="2633"/>
      <c r="AD38" s="2633">
        <f>IF(T24&gt;=(T23+Y23+AD23+AI23),AD28+AI28,0)</f>
        <v>0</v>
      </c>
      <c r="AE38" s="2633"/>
      <c r="AF38" s="2633"/>
      <c r="AG38" s="2633"/>
      <c r="AH38" s="2633"/>
    </row>
    <row r="39" spans="1:76" ht="13.05" customHeight="1">
      <c r="B39" s="2639" t="s">
        <v>1691</v>
      </c>
      <c r="C39" s="2640"/>
      <c r="D39" s="2640"/>
      <c r="E39" s="2640"/>
      <c r="F39" s="2640"/>
      <c r="G39" s="2640"/>
      <c r="H39" s="2640"/>
      <c r="I39" s="2640"/>
      <c r="J39" s="2640"/>
      <c r="K39" s="2640"/>
      <c r="L39" s="2640"/>
      <c r="M39" s="2640"/>
      <c r="N39" s="2640"/>
      <c r="O39" s="2640"/>
      <c r="P39" s="2640"/>
      <c r="Q39" s="2640"/>
      <c r="R39" s="2640"/>
      <c r="S39" s="2640"/>
      <c r="T39" s="2640"/>
      <c r="U39" s="2640"/>
      <c r="V39" s="2640"/>
      <c r="W39" s="2640"/>
      <c r="X39" s="2641"/>
      <c r="Y39" s="2655">
        <v>0.04</v>
      </c>
      <c r="Z39" s="2655"/>
      <c r="AA39" s="2655"/>
      <c r="AB39" s="2655"/>
      <c r="AC39" s="2655"/>
      <c r="AD39" s="2655">
        <v>0.04</v>
      </c>
      <c r="AE39" s="2655"/>
      <c r="AF39" s="2655"/>
      <c r="AG39" s="2655"/>
      <c r="AH39" s="2655"/>
    </row>
    <row r="40" spans="1:76" ht="13.05" customHeight="1">
      <c r="A40" s="405"/>
      <c r="B40" s="2639" t="s">
        <v>642</v>
      </c>
      <c r="C40" s="2640"/>
      <c r="D40" s="2640"/>
      <c r="E40" s="2640"/>
      <c r="F40" s="2640"/>
      <c r="G40" s="2640"/>
      <c r="H40" s="2640"/>
      <c r="I40" s="2640"/>
      <c r="J40" s="2640"/>
      <c r="K40" s="2640"/>
      <c r="L40" s="2640"/>
      <c r="M40" s="2640"/>
      <c r="N40" s="2640"/>
      <c r="O40" s="2640"/>
      <c r="P40" s="2640"/>
      <c r="Q40" s="2640"/>
      <c r="R40" s="2640"/>
      <c r="S40" s="2640"/>
      <c r="T40" s="2640"/>
      <c r="U40" s="2640"/>
      <c r="V40" s="2640"/>
      <c r="W40" s="2640"/>
      <c r="X40" s="2641"/>
      <c r="Y40" s="2633">
        <f>ROUND(Y38*Y39,0)</f>
        <v>1412345</v>
      </c>
      <c r="Z40" s="2633"/>
      <c r="AA40" s="2633"/>
      <c r="AB40" s="2633"/>
      <c r="AC40" s="2633"/>
      <c r="AD40" s="2652">
        <f>ROUND(AD38*AD39,0)</f>
        <v>0</v>
      </c>
      <c r="AE40" s="2633"/>
      <c r="AF40" s="2633"/>
      <c r="AG40" s="2633"/>
      <c r="AH40" s="2633"/>
    </row>
    <row r="41" spans="1:76" ht="13.05" customHeight="1">
      <c r="B41" s="2639" t="s">
        <v>643</v>
      </c>
      <c r="C41" s="2640"/>
      <c r="D41" s="2640"/>
      <c r="E41" s="2640"/>
      <c r="F41" s="2640"/>
      <c r="G41" s="2640"/>
      <c r="H41" s="2640"/>
      <c r="I41" s="2640"/>
      <c r="J41" s="2640"/>
      <c r="K41" s="2640"/>
      <c r="L41" s="2640"/>
      <c r="M41" s="2640"/>
      <c r="N41" s="2640"/>
      <c r="O41" s="2640"/>
      <c r="P41" s="2640"/>
      <c r="Q41" s="2640"/>
      <c r="R41" s="2640"/>
      <c r="S41" s="2640"/>
      <c r="T41" s="2640"/>
      <c r="U41" s="2640"/>
      <c r="V41" s="2640"/>
      <c r="W41" s="2640"/>
      <c r="X41" s="2641"/>
      <c r="Y41" s="2643">
        <f>Y40+AD40</f>
        <v>1412345</v>
      </c>
      <c r="Z41" s="2651"/>
      <c r="AA41" s="2651"/>
      <c r="AB41" s="2651"/>
      <c r="AC41" s="2651"/>
      <c r="AD41" s="2651"/>
      <c r="AE41" s="2651"/>
      <c r="AF41" s="2651"/>
      <c r="AG41" s="2651"/>
      <c r="AH41" s="2652"/>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50" t="s">
        <v>1276</v>
      </c>
      <c r="B44" s="2650"/>
      <c r="C44" s="2650"/>
      <c r="D44" s="2650"/>
      <c r="E44" s="2650"/>
      <c r="F44" s="2650"/>
      <c r="G44" s="2650"/>
      <c r="H44" s="2650"/>
      <c r="I44" s="2650"/>
      <c r="J44" s="2650"/>
      <c r="K44" s="2650"/>
      <c r="L44" s="2650"/>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c r="AS44" s="2650"/>
      <c r="AT44" s="2650"/>
      <c r="AU44" s="2650"/>
      <c r="AV44" s="2650"/>
      <c r="AW44" s="2650"/>
      <c r="AX44" s="2650"/>
      <c r="AY44" s="2650"/>
      <c r="AZ44" s="2650"/>
      <c r="BA44" s="2650"/>
      <c r="BB44" s="2650"/>
      <c r="BC44" s="2650"/>
      <c r="BD44" s="2650"/>
      <c r="BE44" s="2650"/>
      <c r="BF44" s="2650"/>
      <c r="BG44" s="2650"/>
      <c r="BH44" s="2650"/>
      <c r="BI44" s="2650"/>
      <c r="BJ44" s="2650"/>
      <c r="BK44" s="2650"/>
      <c r="BL44" s="2650"/>
      <c r="BM44" s="2650"/>
      <c r="BN44" s="2650"/>
      <c r="BO44" s="2650"/>
      <c r="BP44" s="2650"/>
      <c r="BQ44" s="2650"/>
      <c r="BR44" s="2650"/>
      <c r="BS44" s="2650"/>
      <c r="BT44" s="2650"/>
      <c r="BU44" s="2650"/>
      <c r="BV44" s="2650"/>
      <c r="BW44" s="2650"/>
      <c r="BX44" s="2650"/>
    </row>
    <row r="45" spans="1:76" s="205" customFormat="1" ht="13.05" customHeight="1" thickTop="1"/>
    <row r="46" spans="1:76" ht="13.05" customHeight="1">
      <c r="A46" s="405" t="s">
        <v>586</v>
      </c>
      <c r="C46" s="405" t="s">
        <v>281</v>
      </c>
    </row>
    <row r="47" spans="1:76" ht="13.05" customHeight="1">
      <c r="D47" s="405" t="s">
        <v>282</v>
      </c>
      <c r="AB47" s="2647">
        <f>'Sources and Uses Budget'!B105-MAX(IF('Sources and Uses Budget'!B15="",0,'Sources and Uses Budget'!B15),IF(Application!AG394="",0,Application!AG394))</f>
        <v>34788390</v>
      </c>
      <c r="AC47" s="2648"/>
      <c r="AD47" s="2648"/>
      <c r="AE47" s="2648"/>
      <c r="AF47" s="2649"/>
    </row>
    <row r="48" spans="1:76" ht="13.05" customHeight="1">
      <c r="D48" s="405" t="s">
        <v>21</v>
      </c>
      <c r="AB48" s="2647">
        <f>Application!AO639-MAX(IF('Sources and Uses Budget'!B15="",0,'Sources and Uses Budget'!B15),IF(Application!AG394="",0,Application!AG394))</f>
        <v>23067099</v>
      </c>
      <c r="AC48" s="2648"/>
      <c r="AD48" s="2648"/>
      <c r="AE48" s="2648"/>
      <c r="AF48" s="2649"/>
    </row>
    <row r="49" spans="1:76" ht="13.05" customHeight="1">
      <c r="D49" s="405" t="s">
        <v>91</v>
      </c>
      <c r="AB49" s="2647">
        <f>AB47-AB48</f>
        <v>11721291</v>
      </c>
      <c r="AC49" s="2648"/>
      <c r="AD49" s="2648"/>
      <c r="AE49" s="2648"/>
      <c r="AF49" s="2649"/>
    </row>
    <row r="50" spans="1:76" ht="13.05" customHeight="1">
      <c r="D50" s="405" t="s">
        <v>681</v>
      </c>
      <c r="AA50" s="416"/>
      <c r="AB50" s="2635">
        <f>0.83*0.9999</f>
        <v>0.82991700000000002</v>
      </c>
      <c r="AC50" s="2636"/>
      <c r="AD50" s="2636"/>
      <c r="AE50" s="2636"/>
      <c r="AF50" s="2637"/>
    </row>
    <row r="51" spans="1:76" s="418" customFormat="1" ht="13.05" customHeight="1">
      <c r="A51" s="403"/>
      <c r="B51" s="403"/>
      <c r="C51" s="403"/>
      <c r="D51" s="403"/>
      <c r="E51" s="2646" t="s">
        <v>1850</v>
      </c>
      <c r="F51" s="2646"/>
      <c r="G51" s="2646"/>
      <c r="H51" s="2646"/>
      <c r="I51" s="2646"/>
      <c r="J51" s="2646"/>
      <c r="K51" s="2646"/>
      <c r="L51" s="2646"/>
      <c r="M51" s="2646"/>
      <c r="N51" s="2646"/>
      <c r="O51" s="2646"/>
      <c r="P51" s="2646"/>
      <c r="Q51" s="2646"/>
      <c r="R51" s="2646"/>
      <c r="S51" s="2646"/>
      <c r="T51" s="2646"/>
      <c r="U51" s="2646"/>
      <c r="V51" s="2646"/>
      <c r="W51" s="2646"/>
      <c r="X51" s="2646"/>
      <c r="Y51" s="2646"/>
      <c r="Z51" s="2646"/>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46"/>
      <c r="F52" s="2646"/>
      <c r="G52" s="2646"/>
      <c r="H52" s="2646"/>
      <c r="I52" s="2646"/>
      <c r="J52" s="2646"/>
      <c r="K52" s="2646"/>
      <c r="L52" s="2646"/>
      <c r="M52" s="2646"/>
      <c r="N52" s="2646"/>
      <c r="O52" s="2646"/>
      <c r="P52" s="2646"/>
      <c r="Q52" s="2646"/>
      <c r="R52" s="2646"/>
      <c r="S52" s="2646"/>
      <c r="T52" s="2646"/>
      <c r="U52" s="2646"/>
      <c r="V52" s="2646"/>
      <c r="W52" s="2646"/>
      <c r="X52" s="2646"/>
      <c r="Y52" s="2646"/>
      <c r="Z52" s="2646"/>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47">
        <f>ROUND(IF(ISERROR((AB49/AB50)),0,(AB49/AB50)),0)</f>
        <v>14123450</v>
      </c>
      <c r="AC54" s="2648"/>
      <c r="AD54" s="2648"/>
      <c r="AE54" s="2648"/>
      <c r="AF54" s="2649"/>
    </row>
    <row r="55" spans="1:76" ht="13.05" customHeight="1">
      <c r="D55" s="405" t="s">
        <v>332</v>
      </c>
      <c r="AB55" s="2647">
        <f>(AB54/10)</f>
        <v>1412345</v>
      </c>
      <c r="AC55" s="2648"/>
      <c r="AD55" s="2648"/>
      <c r="AE55" s="2648"/>
      <c r="AF55" s="2649"/>
    </row>
    <row r="56" spans="1:76" ht="13.05" customHeight="1">
      <c r="D56" s="405" t="s">
        <v>756</v>
      </c>
      <c r="AB56" s="2647">
        <f>ROUND((IF((Y41&lt;AB55),Y41,AB55)),0)</f>
        <v>1412345</v>
      </c>
      <c r="AC56" s="2648"/>
      <c r="AD56" s="2648"/>
      <c r="AE56" s="2648"/>
      <c r="AF56" s="2649"/>
    </row>
    <row r="57" spans="1:76" ht="13.05" customHeight="1">
      <c r="D57" s="405" t="s">
        <v>755</v>
      </c>
      <c r="AB57" s="2647">
        <f>ROUND((10*AB56*AB50),0)</f>
        <v>11721291</v>
      </c>
      <c r="AC57" s="2648"/>
      <c r="AD57" s="2648"/>
      <c r="AE57" s="2648"/>
      <c r="AF57" s="2649"/>
    </row>
    <row r="58" spans="1:76" ht="13.05" customHeight="1">
      <c r="D58" s="405"/>
      <c r="AB58" s="424"/>
      <c r="AC58" s="424"/>
      <c r="AD58" s="424"/>
      <c r="AE58" s="424"/>
      <c r="AF58" s="424"/>
    </row>
    <row r="59" spans="1:76" ht="13.05" customHeight="1">
      <c r="D59" s="405" t="s">
        <v>754</v>
      </c>
      <c r="AB59" s="2631">
        <f>AB49-AB57</f>
        <v>0</v>
      </c>
      <c r="AC59" s="2631"/>
      <c r="AD59" s="2631"/>
      <c r="AE59" s="2631"/>
      <c r="AF59" s="2631"/>
    </row>
    <row r="60" spans="1:76" ht="13.05" customHeight="1">
      <c r="D60" s="405"/>
      <c r="AB60" s="424"/>
      <c r="AC60" s="424"/>
      <c r="AD60" s="424"/>
      <c r="AE60" s="424"/>
      <c r="AF60" s="424"/>
    </row>
    <row r="61" spans="1:76" s="205" customFormat="1" ht="13.05" customHeight="1" thickBot="1">
      <c r="A61" s="2650" t="str">
        <f>IF(Application!AP205="yes","Farmworker State Credit", "State Credit" )</f>
        <v>State Credit</v>
      </c>
      <c r="B61" s="2650"/>
      <c r="C61" s="2650"/>
      <c r="D61" s="2650"/>
      <c r="E61" s="2650"/>
      <c r="F61" s="2650"/>
      <c r="G61" s="2650"/>
      <c r="H61" s="2650"/>
      <c r="I61" s="2650"/>
      <c r="J61" s="2650"/>
      <c r="K61" s="2650"/>
      <c r="L61" s="2650"/>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c r="AS61" s="2650"/>
      <c r="AT61" s="2650"/>
      <c r="AU61" s="2650"/>
      <c r="AV61" s="2650"/>
      <c r="AW61" s="2650"/>
      <c r="AX61" s="2650"/>
      <c r="AY61" s="2650"/>
      <c r="AZ61" s="2650"/>
      <c r="BA61" s="2650"/>
      <c r="BB61" s="2650"/>
      <c r="BC61" s="2650"/>
      <c r="BD61" s="2650"/>
      <c r="BE61" s="2650"/>
      <c r="BF61" s="2650"/>
      <c r="BG61" s="2650"/>
      <c r="BH61" s="2650"/>
      <c r="BI61" s="2650"/>
      <c r="BJ61" s="2650"/>
      <c r="BK61" s="2650"/>
      <c r="BL61" s="2650"/>
      <c r="BM61" s="2650"/>
      <c r="BN61" s="2650"/>
      <c r="BO61" s="2650"/>
      <c r="BP61" s="2650"/>
      <c r="BQ61" s="2650"/>
      <c r="BR61" s="2650"/>
      <c r="BS61" s="2650"/>
      <c r="BT61" s="2650"/>
      <c r="BU61" s="2650"/>
      <c r="BV61" s="2650"/>
      <c r="BW61" s="2650"/>
      <c r="BX61" s="2650"/>
    </row>
    <row r="62" spans="1:76" s="205" customFormat="1" ht="13.05" customHeight="1" thickTop="1"/>
    <row r="63" spans="1:76" ht="13.05" customHeight="1">
      <c r="A63" s="405" t="s">
        <v>589</v>
      </c>
      <c r="C63" s="206" t="s">
        <v>1248</v>
      </c>
      <c r="Y63" s="2642" t="s">
        <v>984</v>
      </c>
      <c r="Z63" s="2642"/>
      <c r="AA63" s="2642"/>
      <c r="AB63" s="2642"/>
      <c r="AC63" s="2642"/>
      <c r="AD63" s="2642" t="s">
        <v>368</v>
      </c>
      <c r="AE63" s="2642"/>
      <c r="AF63" s="2642"/>
      <c r="AG63" s="2642"/>
      <c r="AH63" s="2642"/>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3">
        <f>IF(Application!$Z$205="(select)",0,((T23*T27)+Y28))</f>
        <v>0</v>
      </c>
      <c r="Z64" s="2644"/>
      <c r="AA64" s="2644"/>
      <c r="AB64" s="2644"/>
      <c r="AC64" s="2645"/>
      <c r="AD64" s="2643">
        <f>IF(AND(OR(Application!D211="At-Risk",Application!D211="At-Risk and Special Needs"),Application!M358="yes"),AD28+AI28,0)</f>
        <v>0</v>
      </c>
      <c r="AE64" s="2644"/>
      <c r="AF64" s="2644"/>
      <c r="AG64" s="2644"/>
      <c r="AH64" s="2645"/>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2" cm="1">
        <f t="array" ref="Y67">_xlfn.IFS(OR(Application!Z205="State Farmworker Credit",Application!Z205="$500M (Farmworker Housing)"),0.75,Application!Z205="15% set-aside",0.13,Application!Z205="15% set-aside with qualifying low value rehab",0.95,Application!Z205="$500M",0.3,TRUE,0)</f>
        <v>0</v>
      </c>
      <c r="Z67" s="2632"/>
      <c r="AA67" s="2632"/>
      <c r="AB67" s="2632"/>
      <c r="AC67" s="2632"/>
      <c r="AD67" s="2632" cm="1">
        <f t="array" ref="AD67">_xlfn.IFS(Application!Z205="15% set-aside with qualifying low value rehab", 0.95,OR(Application!D211="At-Risk",'Points System'!B13="Yes"),0.13,TRUE,0)</f>
        <v>0</v>
      </c>
      <c r="AE67" s="2632"/>
      <c r="AF67" s="2632"/>
      <c r="AG67" s="2632"/>
      <c r="AH67" s="2632"/>
    </row>
    <row r="68" spans="1:36" ht="13.05" customHeight="1">
      <c r="C68" s="405"/>
      <c r="D68" s="206" t="s">
        <v>2228</v>
      </c>
      <c r="Y68" s="2633">
        <f>ROUND(Y64*Y67,0)</f>
        <v>0</v>
      </c>
      <c r="Z68" s="2634"/>
      <c r="AA68" s="2634"/>
      <c r="AB68" s="2634"/>
      <c r="AC68" s="2634"/>
      <c r="AD68" s="2633">
        <f>ROUND(AD64*AD67,0)</f>
        <v>0</v>
      </c>
      <c r="AE68" s="2634"/>
      <c r="AF68" s="2634"/>
      <c r="AG68" s="2634"/>
      <c r="AH68" s="2634"/>
    </row>
    <row r="69" spans="1:36" ht="13.05" customHeight="1">
      <c r="C69" s="405"/>
      <c r="D69" s="206" t="s">
        <v>2229</v>
      </c>
      <c r="Y69" s="2633">
        <f>IF(OR(Application!Z205="State Farmworker Credit",Application!Z205="$500M (Farmworker Housing)"),Y68+AD68,MIN(Y68+AD68,200000*(Application!G753+Application!O777)))</f>
        <v>0</v>
      </c>
      <c r="Z69" s="2633"/>
      <c r="AA69" s="2633"/>
      <c r="AB69" s="2633"/>
      <c r="AC69" s="2633"/>
      <c r="AD69" s="2633"/>
      <c r="AE69" s="2633"/>
      <c r="AF69" s="2633"/>
      <c r="AG69" s="2633"/>
      <c r="AH69" s="2633"/>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35"/>
      <c r="AC72" s="2636"/>
      <c r="AD72" s="2636"/>
      <c r="AE72" s="2636"/>
      <c r="AF72" s="2637"/>
    </row>
    <row r="73" spans="1:36" ht="13.05" customHeight="1">
      <c r="A73" s="405"/>
      <c r="C73" s="405"/>
      <c r="D73" s="405"/>
      <c r="E73" s="2638" t="s">
        <v>1251</v>
      </c>
      <c r="F73" s="2638"/>
      <c r="G73" s="2638"/>
      <c r="H73" s="2638"/>
      <c r="I73" s="2638"/>
      <c r="J73" s="2638"/>
      <c r="K73" s="2638"/>
      <c r="L73" s="2638"/>
      <c r="M73" s="2638"/>
      <c r="N73" s="2638"/>
      <c r="O73" s="2638"/>
      <c r="P73" s="2638"/>
      <c r="Q73" s="2638"/>
      <c r="R73" s="2638"/>
      <c r="S73" s="2638"/>
      <c r="T73" s="2638"/>
      <c r="U73" s="2638"/>
      <c r="V73" s="2638"/>
      <c r="W73" s="2638"/>
      <c r="X73" s="2638"/>
      <c r="Y73" s="2638"/>
      <c r="Z73" s="2638"/>
      <c r="AA73" s="2638"/>
      <c r="AB73" s="439"/>
      <c r="AC73" s="439"/>
    </row>
    <row r="74" spans="1:36" ht="13.05" customHeight="1">
      <c r="A74" s="405"/>
      <c r="C74" s="405"/>
      <c r="D74" s="405"/>
      <c r="E74" s="2638"/>
      <c r="F74" s="2638"/>
      <c r="G74" s="2638"/>
      <c r="H74" s="2638"/>
      <c r="I74" s="2638"/>
      <c r="J74" s="2638"/>
      <c r="K74" s="2638"/>
      <c r="L74" s="2638"/>
      <c r="M74" s="2638"/>
      <c r="N74" s="2638"/>
      <c r="O74" s="2638"/>
      <c r="P74" s="2638"/>
      <c r="Q74" s="2638"/>
      <c r="R74" s="2638"/>
      <c r="S74" s="2638"/>
      <c r="T74" s="2638"/>
      <c r="U74" s="2638"/>
      <c r="V74" s="2638"/>
      <c r="W74" s="2638"/>
      <c r="X74" s="2638"/>
      <c r="Y74" s="2638"/>
      <c r="Z74" s="2638"/>
      <c r="AA74" s="2638"/>
      <c r="AB74" s="439"/>
      <c r="AC74" s="439"/>
    </row>
    <row r="75" spans="1:36" ht="13.05" customHeight="1">
      <c r="A75" s="405"/>
      <c r="C75" s="405"/>
      <c r="D75" s="405"/>
      <c r="E75" s="2638"/>
      <c r="F75" s="2638"/>
      <c r="G75" s="2638"/>
      <c r="H75" s="2638"/>
      <c r="I75" s="2638"/>
      <c r="J75" s="2638"/>
      <c r="K75" s="2638"/>
      <c r="L75" s="2638"/>
      <c r="M75" s="2638"/>
      <c r="N75" s="2638"/>
      <c r="O75" s="2638"/>
      <c r="P75" s="2638"/>
      <c r="Q75" s="2638"/>
      <c r="R75" s="2638"/>
      <c r="S75" s="2638"/>
      <c r="T75" s="2638"/>
      <c r="U75" s="2638"/>
      <c r="V75" s="2638"/>
      <c r="W75" s="2638"/>
      <c r="X75" s="2638"/>
      <c r="Y75" s="2638"/>
      <c r="Z75" s="2638"/>
      <c r="AA75" s="2638"/>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26">
        <f>ROUND(IF(ISERROR((AB59/AB72)),0,(AB59/AB72)),0)</f>
        <v>0</v>
      </c>
      <c r="AC77" s="2626"/>
      <c r="AD77" s="2626"/>
      <c r="AE77" s="2626"/>
      <c r="AF77" s="2626"/>
    </row>
    <row r="78" spans="1:36" ht="13.05" customHeight="1">
      <c r="C78" s="405"/>
      <c r="D78" s="206" t="s">
        <v>1253</v>
      </c>
      <c r="AB78" s="2627">
        <f>ROUNDUP(MIN(Y69,AB77),0)</f>
        <v>0</v>
      </c>
      <c r="AC78" s="2628"/>
      <c r="AD78" s="2628"/>
      <c r="AE78" s="2628"/>
      <c r="AF78" s="2629"/>
    </row>
    <row r="79" spans="1:36" ht="13.05" customHeight="1">
      <c r="C79" s="405"/>
      <c r="D79" s="206" t="s">
        <v>1254</v>
      </c>
      <c r="AB79" s="2630">
        <f>AB78*AB72</f>
        <v>0</v>
      </c>
      <c r="AC79" s="2630"/>
      <c r="AD79" s="2630"/>
      <c r="AE79" s="2630"/>
      <c r="AF79" s="2630"/>
    </row>
    <row r="80" spans="1:36" ht="13.05" customHeight="1">
      <c r="C80" s="405"/>
      <c r="D80" s="405"/>
      <c r="AB80" s="426"/>
      <c r="AC80" s="426"/>
      <c r="AD80" s="426"/>
      <c r="AE80" s="426"/>
      <c r="AF80" s="426"/>
    </row>
    <row r="81" spans="1:78" ht="13.05" customHeight="1">
      <c r="D81" s="405" t="s">
        <v>754</v>
      </c>
      <c r="AB81" s="2631">
        <f>AB49-(AB57+AB79)</f>
        <v>0</v>
      </c>
      <c r="AC81" s="2631"/>
      <c r="AD81" s="2631"/>
      <c r="AE81" s="2631"/>
      <c r="AF81" s="2631"/>
    </row>
    <row r="82" spans="1:78" ht="13.05" customHeight="1">
      <c r="F82" s="523"/>
      <c r="J82" s="523" t="str">
        <f>IF(AB81&gt;0,"FUNDING GAP MUST NOT EXCEED ZERO","")</f>
        <v/>
      </c>
    </row>
    <row r="83" spans="1:78" ht="13.05" customHeight="1">
      <c r="D83" s="524"/>
    </row>
    <row r="84" spans="1:78" ht="13.05" customHeight="1" thickBot="1">
      <c r="A84" s="2650"/>
      <c r="B84" s="2650"/>
      <c r="C84" s="2650"/>
      <c r="D84" s="2650"/>
      <c r="E84" s="2650"/>
      <c r="F84" s="2650"/>
      <c r="G84" s="2650"/>
      <c r="H84" s="2650"/>
      <c r="I84" s="2650"/>
      <c r="J84" s="2650"/>
      <c r="K84" s="2650"/>
      <c r="L84" s="2650"/>
      <c r="M84" s="2650"/>
      <c r="N84" s="2650"/>
      <c r="O84" s="2650"/>
      <c r="P84" s="2650"/>
      <c r="Q84" s="2650"/>
      <c r="R84" s="2650"/>
      <c r="S84" s="2650"/>
      <c r="T84" s="2650"/>
      <c r="U84" s="2650"/>
      <c r="V84" s="2650"/>
      <c r="W84" s="2650"/>
      <c r="X84" s="2650"/>
      <c r="Y84" s="2650"/>
      <c r="Z84" s="2650"/>
      <c r="AA84" s="2650"/>
      <c r="AB84" s="2650"/>
      <c r="AC84" s="2650"/>
      <c r="AD84" s="2650"/>
      <c r="AE84" s="2650"/>
      <c r="AF84" s="2650"/>
      <c r="AG84" s="2650"/>
      <c r="AH84" s="2650"/>
      <c r="AI84" s="2650"/>
      <c r="AJ84" s="2650"/>
      <c r="AK84" s="2650"/>
      <c r="AL84" s="2650"/>
      <c r="AM84" s="2650"/>
      <c r="AN84" s="2650"/>
      <c r="AO84" s="2650"/>
      <c r="AP84" s="2650"/>
      <c r="AQ84" s="2650"/>
      <c r="AR84" s="2650"/>
      <c r="AS84" s="2650"/>
      <c r="AT84" s="2650"/>
      <c r="AU84" s="2650"/>
      <c r="AV84" s="2650"/>
      <c r="AW84" s="2650"/>
      <c r="AX84" s="2650"/>
      <c r="AY84" s="2650"/>
      <c r="AZ84" s="2650"/>
      <c r="BA84" s="2650"/>
      <c r="BB84" s="2650"/>
      <c r="BC84" s="2650"/>
      <c r="BD84" s="2650"/>
      <c r="BE84" s="2650"/>
      <c r="BF84" s="2650"/>
      <c r="BG84" s="2650"/>
      <c r="BH84" s="2650"/>
      <c r="BI84" s="2650"/>
      <c r="BJ84" s="2650"/>
      <c r="BK84" s="2650"/>
      <c r="BL84" s="2650"/>
      <c r="BM84" s="2650"/>
      <c r="BN84" s="2650"/>
      <c r="BO84" s="2650"/>
      <c r="BP84" s="2650"/>
      <c r="BQ84" s="2650"/>
      <c r="BR84" s="2650"/>
      <c r="BS84" s="2650"/>
      <c r="BT84" s="2650"/>
      <c r="BU84" s="2650"/>
      <c r="BV84" s="2650"/>
      <c r="BW84" s="2650"/>
      <c r="BX84" s="2650"/>
    </row>
    <row r="85" spans="1:78" ht="13.05" customHeight="1" thickTop="1"/>
    <row r="86" spans="1:78" ht="13.05" customHeight="1">
      <c r="A86" s="405"/>
      <c r="C86" s="206"/>
    </row>
    <row r="87" spans="1:78" ht="13.05" customHeight="1">
      <c r="D87" s="206"/>
      <c r="AB87" s="2682"/>
      <c r="AC87" s="2682"/>
      <c r="AD87" s="2682"/>
      <c r="AE87" s="2682"/>
      <c r="AF87" s="2682"/>
    </row>
    <row r="88" spans="1:78" ht="13.05" customHeight="1" thickBot="1">
      <c r="D88" s="206"/>
      <c r="AB88" s="2681"/>
      <c r="AC88" s="2681"/>
      <c r="AD88" s="2681"/>
      <c r="AE88" s="2681"/>
      <c r="AF88" s="268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89" t="s">
        <v>909</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2 Bedrooms</v>
      </c>
      <c r="B4" s="1084">
        <f>Application!G718</f>
        <v>11</v>
      </c>
      <c r="C4" s="1164"/>
      <c r="D4" s="429">
        <f>Application!O718</f>
        <v>880</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11</v>
      </c>
      <c r="C5" s="1164"/>
      <c r="D5" s="429">
        <f>Application!O719</f>
        <v>1504</v>
      </c>
      <c r="E5" s="430"/>
      <c r="F5" s="1085"/>
      <c r="G5" s="429">
        <f t="shared" ref="G5:G38" si="2">F5*B5</f>
        <v>0</v>
      </c>
      <c r="H5" s="430"/>
      <c r="I5" s="429" t="str">
        <f t="shared" si="0"/>
        <v/>
      </c>
      <c r="J5" s="429" t="str">
        <f t="shared" si="1"/>
        <v/>
      </c>
      <c r="K5" s="205"/>
      <c r="L5" s="306"/>
    </row>
    <row r="6" spans="1:12">
      <c r="A6" s="429" t="str">
        <f>Application!B720</f>
        <v>2 Bedrooms</v>
      </c>
      <c r="B6" s="1084">
        <f>Application!G720</f>
        <v>35</v>
      </c>
      <c r="C6" s="1164"/>
      <c r="D6" s="429">
        <f>Application!O720</f>
        <v>1816</v>
      </c>
      <c r="E6" s="430"/>
      <c r="F6" s="1085"/>
      <c r="G6" s="429">
        <f t="shared" si="2"/>
        <v>0</v>
      </c>
      <c r="H6" s="430"/>
      <c r="I6" s="429" t="str">
        <f t="shared" si="0"/>
        <v/>
      </c>
      <c r="J6" s="429" t="str">
        <f t="shared" si="1"/>
        <v/>
      </c>
      <c r="K6" s="205"/>
      <c r="L6" s="306"/>
    </row>
    <row r="7" spans="1:12">
      <c r="A7" s="429" t="str">
        <f>Application!B721</f>
        <v>2 Bedrooms</v>
      </c>
      <c r="B7" s="1084">
        <f>Application!G721</f>
        <v>44</v>
      </c>
      <c r="C7" s="1164"/>
      <c r="D7" s="429">
        <f>Application!O721</f>
        <v>1871</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172108</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0" t="s">
        <v>2499</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2261</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2091696</v>
      </c>
      <c r="G4" s="220">
        <f>E4*$C$4</f>
        <v>2143988.4</v>
      </c>
      <c r="I4" s="220">
        <f>G4*$C$4</f>
        <v>2197588.11</v>
      </c>
      <c r="K4" s="220">
        <f>I4*$C$4</f>
        <v>2252527.8127499996</v>
      </c>
      <c r="M4" s="220">
        <f>K4*$C$4</f>
        <v>2308841.0080687492</v>
      </c>
      <c r="O4" s="220">
        <f>M4*$C$4</f>
        <v>2366562.0332704675</v>
      </c>
      <c r="Q4" s="220">
        <f>O4*$C$4</f>
        <v>2425726.0841022292</v>
      </c>
      <c r="S4" s="220">
        <f>Q4*$C$4</f>
        <v>2486369.2362047848</v>
      </c>
      <c r="U4" s="220">
        <f>S4*$C$4</f>
        <v>2548528.4671099042</v>
      </c>
      <c r="W4" s="220">
        <f>U4*$C$4</f>
        <v>2612241.6787876515</v>
      </c>
      <c r="Y4" s="220">
        <f>W4*$C$4</f>
        <v>2677547.7207573424</v>
      </c>
      <c r="AA4" s="220">
        <f>Y4*$C$4</f>
        <v>2744486.4137762757</v>
      </c>
      <c r="AC4" s="220">
        <f>AA4*$C$4</f>
        <v>2813098.5741206822</v>
      </c>
      <c r="AE4" s="220">
        <f>AC4*$C$4</f>
        <v>2883426.0384736988</v>
      </c>
      <c r="AG4" s="220">
        <f>AE4*$C$4</f>
        <v>2955511.6894355412</v>
      </c>
    </row>
    <row r="5" spans="1:34" s="211" customFormat="1" ht="13.8">
      <c r="B5" s="211" t="s">
        <v>838</v>
      </c>
      <c r="C5" s="239">
        <f>IF(Application!$D$211="Special Needs",(((0.1*Application!$T$212)+(0.05*(1-Application!$T$212)))),0.05)</f>
        <v>0.05</v>
      </c>
      <c r="E5" s="222">
        <f>-E4*$C$5</f>
        <v>-104584.8</v>
      </c>
      <c r="F5" s="222"/>
      <c r="G5" s="222">
        <f>-G4*$C$5</f>
        <v>-107199.42</v>
      </c>
      <c r="H5" s="222"/>
      <c r="I5" s="222">
        <f>-I4*$C$5</f>
        <v>-109879.40549999999</v>
      </c>
      <c r="J5" s="222"/>
      <c r="K5" s="222">
        <f>-K4*$C$5</f>
        <v>-112626.39063749998</v>
      </c>
      <c r="L5" s="222"/>
      <c r="M5" s="222">
        <f>-M4*$C$5</f>
        <v>-115442.05040343746</v>
      </c>
      <c r="N5" s="222"/>
      <c r="O5" s="222">
        <f>-O4*$C$5</f>
        <v>-118328.10166352338</v>
      </c>
      <c r="P5" s="222"/>
      <c r="Q5" s="222">
        <f>-Q4*$C$5</f>
        <v>-121286.30420511146</v>
      </c>
      <c r="R5" s="222"/>
      <c r="S5" s="222">
        <f>-S4*$C$5</f>
        <v>-124318.46181023924</v>
      </c>
      <c r="T5" s="222"/>
      <c r="U5" s="222">
        <f>-U4*$C$5</f>
        <v>-127426.42335549521</v>
      </c>
      <c r="V5" s="222"/>
      <c r="W5" s="222">
        <f>-W4*$C$5</f>
        <v>-130612.08393938257</v>
      </c>
      <c r="X5" s="222"/>
      <c r="Y5" s="222">
        <f>-Y4*$C$5</f>
        <v>-133877.38603786714</v>
      </c>
      <c r="Z5" s="222"/>
      <c r="AA5" s="222">
        <f>-AA4*$C$5</f>
        <v>-137224.32068881378</v>
      </c>
      <c r="AB5" s="222"/>
      <c r="AC5" s="222">
        <f>-AC4*$C$5</f>
        <v>-140654.92870603412</v>
      </c>
      <c r="AD5" s="222"/>
      <c r="AE5" s="222">
        <f>-AE4*$C$5</f>
        <v>-144171.30192368495</v>
      </c>
      <c r="AF5" s="222"/>
      <c r="AG5" s="222">
        <f>-AG4*$C$5</f>
        <v>-147775.58447177705</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67320</v>
      </c>
      <c r="F8" s="223"/>
      <c r="G8" s="223">
        <f>E8*$C$8</f>
        <v>69003</v>
      </c>
      <c r="H8" s="223"/>
      <c r="I8" s="223">
        <f>G8*$C$8</f>
        <v>70728.074999999997</v>
      </c>
      <c r="J8" s="223"/>
      <c r="K8" s="223">
        <f>I8*$C$8</f>
        <v>72496.276874999996</v>
      </c>
      <c r="L8" s="223"/>
      <c r="M8" s="223">
        <f>K8*$C$8</f>
        <v>74308.68379687499</v>
      </c>
      <c r="N8" s="223"/>
      <c r="O8" s="223">
        <f>M8*$C$8</f>
        <v>76166.40089179686</v>
      </c>
      <c r="P8" s="223"/>
      <c r="Q8" s="223">
        <f>O8*$C$8</f>
        <v>78070.56091409178</v>
      </c>
      <c r="R8" s="223"/>
      <c r="S8" s="223">
        <f>Q8*$C$8</f>
        <v>80022.324936944075</v>
      </c>
      <c r="T8" s="223"/>
      <c r="U8" s="223">
        <f>S8*$C$8</f>
        <v>82022.883060367676</v>
      </c>
      <c r="V8" s="223"/>
      <c r="W8" s="223">
        <f>U8*$C$8</f>
        <v>84073.455136876859</v>
      </c>
      <c r="X8" s="223"/>
      <c r="Y8" s="223">
        <f>W8*$C$8</f>
        <v>86175.29151529877</v>
      </c>
      <c r="Z8" s="223"/>
      <c r="AA8" s="223">
        <f>Y8*$C$8</f>
        <v>88329.673803181227</v>
      </c>
      <c r="AB8" s="223"/>
      <c r="AC8" s="223">
        <f>AA8*$C$8</f>
        <v>90537.91564826075</v>
      </c>
      <c r="AD8" s="223"/>
      <c r="AE8" s="223">
        <f>AC8*$C$8</f>
        <v>92801.36353946726</v>
      </c>
      <c r="AF8" s="223"/>
      <c r="AG8" s="223">
        <f>AE8*$C$8</f>
        <v>95121.397627953935</v>
      </c>
    </row>
    <row r="9" spans="1:34" s="211" customFormat="1" ht="13.8">
      <c r="B9" s="211" t="s">
        <v>838</v>
      </c>
      <c r="C9" s="239">
        <f>IF(Application!$D$211="Special Needs",(((0.1*Application!$T$212)+(0.05*(1-Application!$T$212)))),0.05)</f>
        <v>0.05</v>
      </c>
      <c r="E9" s="222">
        <f>-E8*$C$9</f>
        <v>-3366</v>
      </c>
      <c r="F9" s="222"/>
      <c r="G9" s="222">
        <f>-G8*$C$9</f>
        <v>-3450.15</v>
      </c>
      <c r="H9" s="222"/>
      <c r="I9" s="222">
        <f>-I8*$C$9</f>
        <v>-3536.4037499999999</v>
      </c>
      <c r="J9" s="222"/>
      <c r="K9" s="222">
        <f>-K8*$C$9</f>
        <v>-3624.8138437500002</v>
      </c>
      <c r="L9" s="222"/>
      <c r="M9" s="222">
        <f>-M8*$C$9</f>
        <v>-3715.4341898437497</v>
      </c>
      <c r="N9" s="222"/>
      <c r="O9" s="222">
        <f>-O8*$C$9</f>
        <v>-3808.3200445898433</v>
      </c>
      <c r="P9" s="222"/>
      <c r="Q9" s="222">
        <f>-Q8*$C$9</f>
        <v>-3903.5280457045892</v>
      </c>
      <c r="R9" s="222"/>
      <c r="S9" s="222">
        <f>-S8*$C$9</f>
        <v>-4001.1162468472039</v>
      </c>
      <c r="T9" s="222"/>
      <c r="U9" s="222">
        <f>-U8*$C$9</f>
        <v>-4101.1441530183838</v>
      </c>
      <c r="V9" s="222"/>
      <c r="W9" s="222">
        <f>-W8*$C$9</f>
        <v>-4203.6727568438428</v>
      </c>
      <c r="X9" s="222"/>
      <c r="Y9" s="222">
        <f>-Y8*$C$9</f>
        <v>-4308.7645757649389</v>
      </c>
      <c r="Z9" s="222"/>
      <c r="AA9" s="222">
        <f>-AA8*$C$9</f>
        <v>-4416.4836901590616</v>
      </c>
      <c r="AB9" s="222"/>
      <c r="AC9" s="222">
        <f>-AC8*$C$9</f>
        <v>-4526.8957824130375</v>
      </c>
      <c r="AD9" s="222"/>
      <c r="AE9" s="222">
        <f>-AE8*$C$9</f>
        <v>-4640.0681769733628</v>
      </c>
      <c r="AF9" s="222"/>
      <c r="AG9" s="222">
        <f>-AG8*$C$9</f>
        <v>-4756.0698813976969</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2051065.2</v>
      </c>
      <c r="G11" s="224">
        <f>SUM(G4:G10)</f>
        <v>2102341.83</v>
      </c>
      <c r="I11" s="224">
        <f>SUM(I4:I10)</f>
        <v>2154900.3757500001</v>
      </c>
      <c r="K11" s="224">
        <f>SUM(K4:K10)</f>
        <v>2208772.8851437494</v>
      </c>
      <c r="M11" s="224">
        <f>SUM(M4:M10)</f>
        <v>2263992.2072723429</v>
      </c>
      <c r="O11" s="224">
        <f>SUM(O4:O10)</f>
        <v>2320592.0124541512</v>
      </c>
      <c r="Q11" s="224">
        <f>SUM(Q4:Q10)</f>
        <v>2378606.8127655052</v>
      </c>
      <c r="S11" s="224">
        <f>SUM(S4:S10)</f>
        <v>2438071.9830846423</v>
      </c>
      <c r="U11" s="224">
        <f>SUM(U4:U10)</f>
        <v>2499023.7826617584</v>
      </c>
      <c r="W11" s="224">
        <f>SUM(W4:W10)</f>
        <v>2561499.3772283019</v>
      </c>
      <c r="Y11" s="224">
        <f>SUM(Y4:Y10)</f>
        <v>2625536.861659009</v>
      </c>
      <c r="AA11" s="224">
        <f>SUM(AA4:AA10)</f>
        <v>2691175.2832004842</v>
      </c>
      <c r="AC11" s="224">
        <f>SUM(AC4:AC10)</f>
        <v>2758454.6652804958</v>
      </c>
      <c r="AE11" s="224">
        <f>SUM(AE4:AE10)</f>
        <v>2827416.031912508</v>
      </c>
      <c r="AG11" s="224">
        <f>SUM(AG4:AG10)</f>
        <v>2898101.4327103202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74086</v>
      </c>
      <c r="G15" s="220">
        <f>E15*$C$14</f>
        <v>76679.009999999995</v>
      </c>
      <c r="I15" s="220">
        <f>G15*$C$14</f>
        <v>79362.775349999982</v>
      </c>
      <c r="K15" s="220">
        <f>I15*$C$14</f>
        <v>82140.472487249979</v>
      </c>
      <c r="M15" s="220">
        <f>K15*$C$14</f>
        <v>85015.389024303717</v>
      </c>
      <c r="O15" s="220">
        <f>M15*$C$14</f>
        <v>87990.927640154347</v>
      </c>
      <c r="Q15" s="220">
        <f>O15*$C$14</f>
        <v>91070.61010755974</v>
      </c>
      <c r="S15" s="220">
        <f>Q15*$C$14</f>
        <v>94258.081461324327</v>
      </c>
      <c r="U15" s="220">
        <f>S15*$C$14</f>
        <v>97557.114312470672</v>
      </c>
      <c r="W15" s="220">
        <f>U15*$C$14</f>
        <v>100971.61331340714</v>
      </c>
      <c r="Y15" s="220">
        <f>W15*$C$14</f>
        <v>104505.61977937639</v>
      </c>
      <c r="AA15" s="220">
        <f>Y15*$C$14</f>
        <v>108163.31647165456</v>
      </c>
      <c r="AC15" s="220">
        <f>AA15*$C$14</f>
        <v>111949.03254816246</v>
      </c>
      <c r="AE15" s="220">
        <f>AC15*$C$14</f>
        <v>115867.24868734814</v>
      </c>
      <c r="AG15" s="220">
        <f>AE15*$C$14</f>
        <v>119922.60239140532</v>
      </c>
    </row>
    <row r="16" spans="1:34" s="211" customFormat="1" ht="13.8">
      <c r="A16" s="211" t="s">
        <v>343</v>
      </c>
      <c r="C16" s="234"/>
      <c r="E16" s="223">
        <f>Application!W849</f>
        <v>88436</v>
      </c>
      <c r="F16" s="223"/>
      <c r="G16" s="223">
        <f t="shared" ref="G16:AG21" si="0">E16*$C$14</f>
        <v>91531.26</v>
      </c>
      <c r="H16" s="223"/>
      <c r="I16" s="223">
        <f t="shared" si="0"/>
        <v>94734.854099999982</v>
      </c>
      <c r="J16" s="223"/>
      <c r="K16" s="223">
        <f t="shared" si="0"/>
        <v>98050.573993499973</v>
      </c>
      <c r="L16" s="223"/>
      <c r="M16" s="223">
        <f t="shared" si="0"/>
        <v>101482.34408327246</v>
      </c>
      <c r="N16" s="223"/>
      <c r="O16" s="223">
        <f t="shared" si="0"/>
        <v>105034.22612618699</v>
      </c>
      <c r="P16" s="223"/>
      <c r="Q16" s="223">
        <f t="shared" si="0"/>
        <v>108710.42404060352</v>
      </c>
      <c r="R16" s="223"/>
      <c r="S16" s="223">
        <f t="shared" si="0"/>
        <v>112515.28888202464</v>
      </c>
      <c r="T16" s="223"/>
      <c r="U16" s="223">
        <f t="shared" si="0"/>
        <v>116453.3239928955</v>
      </c>
      <c r="V16" s="223"/>
      <c r="W16" s="223">
        <f t="shared" si="0"/>
        <v>120529.19033264683</v>
      </c>
      <c r="X16" s="223"/>
      <c r="Y16" s="223">
        <f t="shared" si="0"/>
        <v>124747.71199428946</v>
      </c>
      <c r="Z16" s="223"/>
      <c r="AA16" s="223">
        <f t="shared" si="0"/>
        <v>129113.88191408958</v>
      </c>
      <c r="AB16" s="223"/>
      <c r="AC16" s="223">
        <f t="shared" si="0"/>
        <v>133632.86778108269</v>
      </c>
      <c r="AD16" s="223"/>
      <c r="AE16" s="223">
        <f t="shared" si="0"/>
        <v>138310.01815342056</v>
      </c>
      <c r="AF16" s="223"/>
      <c r="AG16" s="223">
        <f t="shared" si="0"/>
        <v>143150.86878879028</v>
      </c>
    </row>
    <row r="17" spans="1:33" s="211" customFormat="1" ht="13.8">
      <c r="A17" s="211" t="s">
        <v>561</v>
      </c>
      <c r="C17" s="234"/>
      <c r="E17" s="223">
        <f>Application!W855</f>
        <v>97200</v>
      </c>
      <c r="F17" s="223"/>
      <c r="G17" s="223">
        <f t="shared" si="0"/>
        <v>100601.99999999999</v>
      </c>
      <c r="H17" s="223"/>
      <c r="I17" s="223">
        <f t="shared" si="0"/>
        <v>104123.06999999998</v>
      </c>
      <c r="J17" s="223"/>
      <c r="K17" s="223">
        <f t="shared" si="0"/>
        <v>107767.37744999997</v>
      </c>
      <c r="L17" s="223"/>
      <c r="M17" s="223">
        <f t="shared" si="0"/>
        <v>111539.23566074997</v>
      </c>
      <c r="N17" s="223"/>
      <c r="O17" s="223">
        <f t="shared" si="0"/>
        <v>115443.10890887621</v>
      </c>
      <c r="P17" s="223"/>
      <c r="Q17" s="223">
        <f t="shared" si="0"/>
        <v>119483.61772068687</v>
      </c>
      <c r="R17" s="223"/>
      <c r="S17" s="223">
        <f t="shared" si="0"/>
        <v>123665.5443409109</v>
      </c>
      <c r="T17" s="223"/>
      <c r="U17" s="223">
        <f t="shared" si="0"/>
        <v>127993.83839284276</v>
      </c>
      <c r="V17" s="223"/>
      <c r="W17" s="223">
        <f t="shared" si="0"/>
        <v>132473.62273659225</v>
      </c>
      <c r="X17" s="223"/>
      <c r="Y17" s="223">
        <f t="shared" si="0"/>
        <v>137110.19953237296</v>
      </c>
      <c r="Z17" s="223"/>
      <c r="AA17" s="223">
        <f t="shared" si="0"/>
        <v>141909.05651600601</v>
      </c>
      <c r="AB17" s="223"/>
      <c r="AC17" s="223">
        <f t="shared" si="0"/>
        <v>146875.87349406621</v>
      </c>
      <c r="AD17" s="223"/>
      <c r="AE17" s="223">
        <f t="shared" si="0"/>
        <v>152016.52906635852</v>
      </c>
      <c r="AF17" s="223"/>
      <c r="AG17" s="223">
        <f t="shared" si="0"/>
        <v>157337.10758368106</v>
      </c>
    </row>
    <row r="18" spans="1:33" s="211" customFormat="1" ht="13.8">
      <c r="A18" s="211" t="s">
        <v>842</v>
      </c>
      <c r="C18" s="234"/>
      <c r="E18" s="223">
        <f>Application!W862</f>
        <v>104040</v>
      </c>
      <c r="F18" s="223"/>
      <c r="G18" s="223">
        <f t="shared" si="0"/>
        <v>107681.4</v>
      </c>
      <c r="H18" s="223"/>
      <c r="I18" s="223">
        <f t="shared" si="0"/>
        <v>111450.24899999998</v>
      </c>
      <c r="J18" s="223"/>
      <c r="K18" s="223">
        <f t="shared" si="0"/>
        <v>115351.00771499997</v>
      </c>
      <c r="L18" s="223"/>
      <c r="M18" s="223">
        <f t="shared" si="0"/>
        <v>119388.29298502496</v>
      </c>
      <c r="N18" s="223"/>
      <c r="O18" s="223">
        <f t="shared" si="0"/>
        <v>123566.88323950082</v>
      </c>
      <c r="P18" s="223"/>
      <c r="Q18" s="223">
        <f t="shared" si="0"/>
        <v>127891.72415288334</v>
      </c>
      <c r="R18" s="223"/>
      <c r="S18" s="223">
        <f t="shared" si="0"/>
        <v>132367.93449823424</v>
      </c>
      <c r="T18" s="223"/>
      <c r="U18" s="223">
        <f t="shared" si="0"/>
        <v>137000.81220567244</v>
      </c>
      <c r="V18" s="223"/>
      <c r="W18" s="223">
        <f t="shared" si="0"/>
        <v>141795.84063287097</v>
      </c>
      <c r="X18" s="223"/>
      <c r="Y18" s="223">
        <f t="shared" si="0"/>
        <v>146758.69505502144</v>
      </c>
      <c r="Z18" s="223"/>
      <c r="AA18" s="223">
        <f t="shared" si="0"/>
        <v>151895.24938194719</v>
      </c>
      <c r="AB18" s="223"/>
      <c r="AC18" s="223">
        <f t="shared" si="0"/>
        <v>157211.58311031532</v>
      </c>
      <c r="AD18" s="223"/>
      <c r="AE18" s="223">
        <f t="shared" si="0"/>
        <v>162713.98851917635</v>
      </c>
      <c r="AF18" s="223"/>
      <c r="AG18" s="223">
        <f t="shared" si="0"/>
        <v>168408.97811734749</v>
      </c>
    </row>
    <row r="19" spans="1:33" s="211" customFormat="1" ht="13.8">
      <c r="A19" s="211" t="s">
        <v>155</v>
      </c>
      <c r="C19" s="234"/>
      <c r="E19" s="223">
        <f>Application!W863</f>
        <v>56100</v>
      </c>
      <c r="F19" s="223"/>
      <c r="G19" s="223">
        <f t="shared" si="0"/>
        <v>58063.499999999993</v>
      </c>
      <c r="H19" s="223"/>
      <c r="I19" s="223">
        <f t="shared" si="0"/>
        <v>60095.722499999989</v>
      </c>
      <c r="J19" s="223"/>
      <c r="K19" s="223">
        <f t="shared" si="0"/>
        <v>62199.072787499987</v>
      </c>
      <c r="L19" s="223"/>
      <c r="M19" s="223">
        <f t="shared" si="0"/>
        <v>64376.040335062484</v>
      </c>
      <c r="N19" s="223"/>
      <c r="O19" s="223">
        <f t="shared" si="0"/>
        <v>66629.201746789666</v>
      </c>
      <c r="P19" s="223"/>
      <c r="Q19" s="223">
        <f t="shared" si="0"/>
        <v>68961.223807927294</v>
      </c>
      <c r="R19" s="223"/>
      <c r="S19" s="223">
        <f t="shared" si="0"/>
        <v>71374.866641204746</v>
      </c>
      <c r="T19" s="223"/>
      <c r="U19" s="223">
        <f t="shared" si="0"/>
        <v>73872.986973646912</v>
      </c>
      <c r="V19" s="223"/>
      <c r="W19" s="223">
        <f t="shared" si="0"/>
        <v>76458.541517724545</v>
      </c>
      <c r="X19" s="223"/>
      <c r="Y19" s="223">
        <f t="shared" si="0"/>
        <v>79134.590470844894</v>
      </c>
      <c r="Z19" s="223"/>
      <c r="AA19" s="223">
        <f t="shared" si="0"/>
        <v>81904.301137324466</v>
      </c>
      <c r="AB19" s="223"/>
      <c r="AC19" s="223">
        <f t="shared" si="0"/>
        <v>84770.951677130812</v>
      </c>
      <c r="AD19" s="223"/>
      <c r="AE19" s="223">
        <f t="shared" si="0"/>
        <v>87737.93498583039</v>
      </c>
      <c r="AF19" s="223"/>
      <c r="AG19" s="223">
        <f t="shared" si="0"/>
        <v>90808.762710334442</v>
      </c>
    </row>
    <row r="20" spans="1:33" s="211" customFormat="1" ht="13.8">
      <c r="A20" s="211" t="s">
        <v>389</v>
      </c>
      <c r="C20" s="234"/>
      <c r="E20" s="223">
        <f>Application!W872</f>
        <v>126384</v>
      </c>
      <c r="F20" s="223"/>
      <c r="G20" s="223">
        <f t="shared" si="0"/>
        <v>130807.43999999999</v>
      </c>
      <c r="H20" s="223"/>
      <c r="I20" s="223">
        <f t="shared" si="0"/>
        <v>135385.70039999997</v>
      </c>
      <c r="J20" s="223"/>
      <c r="K20" s="223">
        <f t="shared" si="0"/>
        <v>140124.19991399997</v>
      </c>
      <c r="L20" s="223"/>
      <c r="M20" s="223">
        <f t="shared" si="0"/>
        <v>145028.54691098994</v>
      </c>
      <c r="N20" s="223"/>
      <c r="O20" s="223">
        <f t="shared" si="0"/>
        <v>150104.54605287459</v>
      </c>
      <c r="P20" s="223"/>
      <c r="Q20" s="223">
        <f t="shared" si="0"/>
        <v>155358.20516472519</v>
      </c>
      <c r="R20" s="223"/>
      <c r="S20" s="223">
        <f t="shared" si="0"/>
        <v>160795.74234549055</v>
      </c>
      <c r="T20" s="223"/>
      <c r="U20" s="223">
        <f t="shared" si="0"/>
        <v>166423.5933275827</v>
      </c>
      <c r="V20" s="223"/>
      <c r="W20" s="223">
        <f t="shared" si="0"/>
        <v>172248.41909404809</v>
      </c>
      <c r="X20" s="223"/>
      <c r="Y20" s="223">
        <f t="shared" si="0"/>
        <v>178277.11376233975</v>
      </c>
      <c r="Z20" s="223"/>
      <c r="AA20" s="223">
        <f t="shared" si="0"/>
        <v>184516.81274402162</v>
      </c>
      <c r="AB20" s="223"/>
      <c r="AC20" s="223">
        <f t="shared" si="0"/>
        <v>190974.90119006237</v>
      </c>
      <c r="AD20" s="223"/>
      <c r="AE20" s="223">
        <f t="shared" si="0"/>
        <v>197659.02273171453</v>
      </c>
      <c r="AF20" s="223"/>
      <c r="AG20" s="223">
        <f t="shared" si="0"/>
        <v>204577.08852732452</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546246</v>
      </c>
      <c r="G22" s="224">
        <f>SUM(G15:G21)</f>
        <v>565364.60999999987</v>
      </c>
      <c r="I22" s="224">
        <f>SUM(I15:I21)</f>
        <v>585152.37134999991</v>
      </c>
      <c r="K22" s="224">
        <f>SUM(K15:K21)</f>
        <v>605632.70434724982</v>
      </c>
      <c r="M22" s="224">
        <f>SUM(M15:M21)</f>
        <v>626829.84899940353</v>
      </c>
      <c r="O22" s="224">
        <f>SUM(O15:O21)</f>
        <v>648768.89371438255</v>
      </c>
      <c r="Q22" s="224">
        <f>SUM(Q15:Q21)</f>
        <v>671475.80499438592</v>
      </c>
      <c r="S22" s="224">
        <f>SUM(S15:S21)</f>
        <v>694977.45816918928</v>
      </c>
      <c r="U22" s="224">
        <f>SUM(U15:U21)</f>
        <v>719301.66920511099</v>
      </c>
      <c r="W22" s="224">
        <f>SUM(W15:W21)</f>
        <v>744477.22762728983</v>
      </c>
      <c r="Y22" s="224">
        <f>SUM(Y15:Y21)</f>
        <v>770533.93059424497</v>
      </c>
      <c r="AA22" s="224">
        <f>SUM(AA15:AA21)</f>
        <v>797502.61816504342</v>
      </c>
      <c r="AC22" s="224">
        <f>SUM(AC15:AC21)</f>
        <v>825415.20980081975</v>
      </c>
      <c r="AE22" s="224">
        <f>SUM(AE15:AE21)</f>
        <v>854304.74214384856</v>
      </c>
      <c r="AG22" s="224">
        <f>SUM(AG15:AG21)</f>
        <v>884205.40811888303</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24410</v>
      </c>
      <c r="F27" s="223"/>
      <c r="G27" s="223">
        <f>E27*$C$27</f>
        <v>25264.35</v>
      </c>
      <c r="H27" s="223"/>
      <c r="I27" s="223">
        <f>G27*$C$27</f>
        <v>26148.602249999996</v>
      </c>
      <c r="J27" s="223"/>
      <c r="K27" s="223">
        <f>I27*$C$27</f>
        <v>27063.803328749993</v>
      </c>
      <c r="L27" s="223"/>
      <c r="M27" s="223">
        <f>K27*$C$27</f>
        <v>28011.036445256239</v>
      </c>
      <c r="N27" s="223"/>
      <c r="O27" s="223">
        <f>M27*$C$27</f>
        <v>28991.422720840204</v>
      </c>
      <c r="P27" s="223"/>
      <c r="Q27" s="223">
        <f>O27*$C$27</f>
        <v>30006.122516069609</v>
      </c>
      <c r="R27" s="223"/>
      <c r="S27" s="223">
        <f>Q27*$C$27</f>
        <v>31056.336804132043</v>
      </c>
      <c r="T27" s="223"/>
      <c r="U27" s="223">
        <f>S27*$C$27</f>
        <v>32143.308592276662</v>
      </c>
      <c r="V27" s="223"/>
      <c r="W27" s="223">
        <f>U27*$C$27</f>
        <v>33268.32439300634</v>
      </c>
      <c r="X27" s="223"/>
      <c r="Y27" s="223">
        <f>W27*$C$27</f>
        <v>34432.715746761562</v>
      </c>
      <c r="Z27" s="223"/>
      <c r="AA27" s="223">
        <f>Y27*$C$27</f>
        <v>35637.860797898211</v>
      </c>
      <c r="AB27" s="223"/>
      <c r="AC27" s="223">
        <f>AA27*$C$27</f>
        <v>36885.185925824648</v>
      </c>
      <c r="AD27" s="223"/>
      <c r="AE27" s="223">
        <f>AC27*$C$27</f>
        <v>38176.167433228504</v>
      </c>
      <c r="AF27" s="223"/>
      <c r="AG27" s="223">
        <f>AE27*$C$27</f>
        <v>39512.333293391501</v>
      </c>
    </row>
    <row r="28" spans="1:33" s="211" customFormat="1" ht="13.8">
      <c r="A28" s="211" t="s">
        <v>846</v>
      </c>
      <c r="C28" s="238"/>
      <c r="E28" s="223">
        <f>Application!AC889</f>
        <v>30600</v>
      </c>
      <c r="F28" s="223"/>
      <c r="G28" s="223">
        <f>$E$28</f>
        <v>30600</v>
      </c>
      <c r="H28" s="223"/>
      <c r="I28" s="223">
        <f>$E$28</f>
        <v>30600</v>
      </c>
      <c r="J28" s="223"/>
      <c r="K28" s="223">
        <f>$E$28</f>
        <v>30600</v>
      </c>
      <c r="L28" s="223"/>
      <c r="M28" s="223">
        <f>$E$28</f>
        <v>30600</v>
      </c>
      <c r="N28" s="223"/>
      <c r="O28" s="223">
        <f>$E$28</f>
        <v>30600</v>
      </c>
      <c r="P28" s="223"/>
      <c r="Q28" s="223">
        <f>$E$28</f>
        <v>30600</v>
      </c>
      <c r="R28" s="223"/>
      <c r="S28" s="223">
        <f>$E$28</f>
        <v>30600</v>
      </c>
      <c r="T28" s="223"/>
      <c r="U28" s="223">
        <f>$E$28</f>
        <v>30600</v>
      </c>
      <c r="V28" s="223"/>
      <c r="W28" s="223">
        <f>$E$28</f>
        <v>30600</v>
      </c>
      <c r="X28" s="223"/>
      <c r="Y28" s="223">
        <f>$E$28</f>
        <v>30600</v>
      </c>
      <c r="Z28" s="223"/>
      <c r="AA28" s="223">
        <f>$E$28</f>
        <v>30600</v>
      </c>
      <c r="AB28" s="223"/>
      <c r="AC28" s="223">
        <f>$E$28</f>
        <v>30600</v>
      </c>
      <c r="AD28" s="223"/>
      <c r="AE28" s="223">
        <f>$E$28</f>
        <v>30600</v>
      </c>
      <c r="AF28" s="223"/>
      <c r="AG28" s="223">
        <f>$E$28</f>
        <v>30600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6120</v>
      </c>
      <c r="F30" s="223"/>
      <c r="G30" s="223">
        <f>E30*$C$30</f>
        <v>6242.4000000000005</v>
      </c>
      <c r="H30" s="223"/>
      <c r="I30" s="223">
        <f>G30*$C$30</f>
        <v>6367.2480000000005</v>
      </c>
      <c r="J30" s="223"/>
      <c r="K30" s="223">
        <f>I30*$C$30</f>
        <v>6494.5929600000009</v>
      </c>
      <c r="L30" s="223"/>
      <c r="M30" s="223">
        <f>K30*$C$30</f>
        <v>6624.4848192000009</v>
      </c>
      <c r="N30" s="223"/>
      <c r="O30" s="223">
        <f>M30*$C$30</f>
        <v>6756.974515584001</v>
      </c>
      <c r="P30" s="223"/>
      <c r="Q30" s="223">
        <f>O30*$C$30</f>
        <v>6892.1140058956807</v>
      </c>
      <c r="R30" s="223"/>
      <c r="S30" s="223">
        <f>Q30*$C$30</f>
        <v>7029.9562860135948</v>
      </c>
      <c r="T30" s="223"/>
      <c r="U30" s="223">
        <f>S30*$C$30</f>
        <v>7170.555411733867</v>
      </c>
      <c r="V30" s="223"/>
      <c r="W30" s="223">
        <f>U30*$C$30</f>
        <v>7313.9665199685442</v>
      </c>
      <c r="X30" s="223"/>
      <c r="Y30" s="223">
        <f>W30*$C$30</f>
        <v>7460.2458503679154</v>
      </c>
      <c r="Z30" s="223"/>
      <c r="AA30" s="223">
        <f>Y30*$C$30</f>
        <v>7609.4507673752742</v>
      </c>
      <c r="AB30" s="223"/>
      <c r="AC30" s="223">
        <f>AA30*$C$30</f>
        <v>7761.6397827227802</v>
      </c>
      <c r="AD30" s="223"/>
      <c r="AE30" s="223">
        <f>AC30*$C$30</f>
        <v>7916.8725783772361</v>
      </c>
      <c r="AF30" s="223"/>
      <c r="AG30" s="223">
        <f>AE30*$C$30</f>
        <v>8075.2100299447811</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614876</v>
      </c>
      <c r="G35" s="224">
        <f>SUM(G22:G33)</f>
        <v>634971.35999999987</v>
      </c>
      <c r="I35" s="224">
        <f>SUM(I22:I33)</f>
        <v>655768.22159999993</v>
      </c>
      <c r="K35" s="224">
        <f>SUM(K22:K33)</f>
        <v>677291.10063599981</v>
      </c>
      <c r="M35" s="224">
        <f>SUM(M22:M33)</f>
        <v>699565.37026385975</v>
      </c>
      <c r="O35" s="224">
        <f>SUM(O22:O33)</f>
        <v>722617.2909508067</v>
      </c>
      <c r="Q35" s="224">
        <f>SUM(Q22:Q33)</f>
        <v>746474.04151635116</v>
      </c>
      <c r="S35" s="224">
        <f>SUM(S22:S33)</f>
        <v>771163.75125933497</v>
      </c>
      <c r="U35" s="224">
        <f>SUM(U22:U33)</f>
        <v>796715.53320912155</v>
      </c>
      <c r="W35" s="224">
        <f>SUM(W22:W33)</f>
        <v>823159.51854026481</v>
      </c>
      <c r="Y35" s="224">
        <f>SUM(Y22:Y33)</f>
        <v>850526.89219137444</v>
      </c>
      <c r="AA35" s="224">
        <f>SUM(AA22:AA33)</f>
        <v>878849.92973031697</v>
      </c>
      <c r="AC35" s="224">
        <f>SUM(AC22:AC33)</f>
        <v>908162.03550936724</v>
      </c>
      <c r="AE35" s="224">
        <f>SUM(AE22:AE33)</f>
        <v>938497.78215545428</v>
      </c>
      <c r="AG35" s="224">
        <f>SUM(AG22:AG33)</f>
        <v>969892.95144221932</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1436189.2</v>
      </c>
      <c r="G37" s="224">
        <f>G11-G35</f>
        <v>1467370.4700000002</v>
      </c>
      <c r="I37" s="224">
        <f>I11-I35</f>
        <v>1499132.1541500003</v>
      </c>
      <c r="K37" s="224">
        <f>K11-K35</f>
        <v>1531481.7845077496</v>
      </c>
      <c r="M37" s="224">
        <f>M11-M35</f>
        <v>1564426.8370084832</v>
      </c>
      <c r="O37" s="224">
        <f>O11-O35</f>
        <v>1597974.7215033444</v>
      </c>
      <c r="Q37" s="224">
        <f>Q11-Q35</f>
        <v>1632132.7712491541</v>
      </c>
      <c r="S37" s="224">
        <f>S11-S35</f>
        <v>1666908.2318253075</v>
      </c>
      <c r="U37" s="224">
        <f>U11-U35</f>
        <v>1702308.2494526368</v>
      </c>
      <c r="W37" s="224">
        <f>W11-W35</f>
        <v>1738339.8586880371</v>
      </c>
      <c r="Y37" s="224">
        <f>Y11-Y35</f>
        <v>1775009.9694676346</v>
      </c>
      <c r="AA37" s="224">
        <f>AA11-AA35</f>
        <v>1812325.3534701671</v>
      </c>
      <c r="AC37" s="224">
        <f>AC11-AC35</f>
        <v>1850292.6297711285</v>
      </c>
      <c r="AE37" s="224">
        <f>AE11-AE35</f>
        <v>1888918.2497570538</v>
      </c>
      <c r="AG37" s="224">
        <f>AG11-AG35</f>
        <v>1928208.4812681009</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1248849.6307068907</v>
      </c>
      <c r="F40" s="223"/>
      <c r="G40" s="223">
        <f>$E$40</f>
        <v>1248849.6307068907</v>
      </c>
      <c r="H40" s="223"/>
      <c r="I40" s="223">
        <f>$E$40</f>
        <v>1248849.6307068907</v>
      </c>
      <c r="J40" s="223"/>
      <c r="K40" s="223">
        <f>$E$40</f>
        <v>1248849.6307068907</v>
      </c>
      <c r="L40" s="223"/>
      <c r="M40" s="223">
        <f>$E$40</f>
        <v>1248849.6307068907</v>
      </c>
      <c r="N40" s="223"/>
      <c r="O40" s="223">
        <f>$E$40</f>
        <v>1248849.6307068907</v>
      </c>
      <c r="P40" s="223"/>
      <c r="Q40" s="223">
        <f>$E$40</f>
        <v>1248849.6307068907</v>
      </c>
      <c r="R40" s="223"/>
      <c r="S40" s="223">
        <f>$E$40</f>
        <v>1248849.6307068907</v>
      </c>
      <c r="T40" s="223"/>
      <c r="U40" s="223">
        <f>$E$40</f>
        <v>1248849.6307068907</v>
      </c>
      <c r="V40" s="223"/>
      <c r="W40" s="223">
        <f>$E$40</f>
        <v>1248849.6307068907</v>
      </c>
      <c r="X40" s="223"/>
      <c r="Y40" s="223">
        <f>$E$40</f>
        <v>1248849.6307068907</v>
      </c>
      <c r="Z40" s="223"/>
      <c r="AA40" s="223">
        <f>$E$40</f>
        <v>1248849.6307068907</v>
      </c>
      <c r="AB40" s="223"/>
      <c r="AC40" s="223">
        <f>$E$40</f>
        <v>1248849.6307068907</v>
      </c>
      <c r="AD40" s="223"/>
      <c r="AE40" s="223">
        <f>$E$40</f>
        <v>1248849.6307068907</v>
      </c>
      <c r="AF40" s="223"/>
      <c r="AG40" s="223">
        <f>$E$40</f>
        <v>1248849.6307068907</v>
      </c>
    </row>
    <row r="41" spans="1:33" s="211" customFormat="1" ht="13.8">
      <c r="A41" s="226" t="str">
        <f>Application!C628</f>
        <v>Citibank</v>
      </c>
      <c r="B41" s="227"/>
      <c r="C41" s="221"/>
      <c r="E41" s="223">
        <f>Application!AF628</f>
        <v>0</v>
      </c>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1248849.6307068907</v>
      </c>
      <c r="G43" s="224">
        <f>SUM(G40:G42)</f>
        <v>1248849.6307068907</v>
      </c>
      <c r="I43" s="224">
        <f>SUM(I40:I42)</f>
        <v>1248849.6307068907</v>
      </c>
      <c r="K43" s="224">
        <f>SUM(K40:K42)</f>
        <v>1248849.6307068907</v>
      </c>
      <c r="M43" s="224">
        <f>SUM(M40:M42)</f>
        <v>1248849.6307068907</v>
      </c>
      <c r="O43" s="224">
        <f>SUM(O40:O42)</f>
        <v>1248849.6307068907</v>
      </c>
      <c r="Q43" s="224">
        <f>SUM(Q40:Q42)</f>
        <v>1248849.6307068907</v>
      </c>
      <c r="S43" s="224">
        <f>SUM(S40:S42)</f>
        <v>1248849.6307068907</v>
      </c>
      <c r="U43" s="224">
        <f>SUM(U40:U42)</f>
        <v>1248849.6307068907</v>
      </c>
      <c r="W43" s="224">
        <f>SUM(W40:W42)</f>
        <v>1248849.6307068907</v>
      </c>
      <c r="Y43" s="224">
        <f>SUM(Y40:Y42)</f>
        <v>1248849.6307068907</v>
      </c>
      <c r="AA43" s="224">
        <f>SUM(AA40:AA42)</f>
        <v>1248849.6307068907</v>
      </c>
      <c r="AC43" s="224">
        <f>SUM(AC40:AC42)</f>
        <v>1248849.6307068907</v>
      </c>
      <c r="AE43" s="224">
        <f>SUM(AE40:AE42)</f>
        <v>1248849.6307068907</v>
      </c>
      <c r="AG43" s="224">
        <f>SUM(AG40:AG42)</f>
        <v>1248849.6307068907</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187339.56929310923</v>
      </c>
      <c r="G45" s="224">
        <f>G37-G43</f>
        <v>218520.83929310949</v>
      </c>
      <c r="I45" s="224">
        <f>I37-I43</f>
        <v>250282.52344310959</v>
      </c>
      <c r="K45" s="224">
        <f>K37-K43</f>
        <v>282632.15380085888</v>
      </c>
      <c r="M45" s="224">
        <f>M37-M43</f>
        <v>315577.20630159252</v>
      </c>
      <c r="O45" s="224">
        <f>O37-O43</f>
        <v>349125.09079645365</v>
      </c>
      <c r="Q45" s="224">
        <f>Q37-Q43</f>
        <v>383283.1405422634</v>
      </c>
      <c r="S45" s="224">
        <f>S37-S43</f>
        <v>418058.60111841676</v>
      </c>
      <c r="U45" s="224">
        <f>U37-U43</f>
        <v>453458.61874574609</v>
      </c>
      <c r="W45" s="224">
        <f>W37-W43</f>
        <v>489490.22798114643</v>
      </c>
      <c r="Y45" s="224">
        <f>Y37-Y43</f>
        <v>526160.33876074385</v>
      </c>
      <c r="AA45" s="224">
        <f>AA37-AA43</f>
        <v>563475.72276327643</v>
      </c>
      <c r="AC45" s="224">
        <f>AC37-AC43</f>
        <v>601442.99906423781</v>
      </c>
      <c r="AE45" s="224">
        <f>AE37-AE43</f>
        <v>640068.61905016308</v>
      </c>
      <c r="AG45" s="224">
        <f>AG37-AG43</f>
        <v>679358.85056121019</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8.6770811005156628E-2</v>
      </c>
      <c r="G47" s="228">
        <f>G45/(G4+G6+G8)</f>
        <v>9.8744549704580645E-2</v>
      </c>
      <c r="I47" s="228">
        <f>I45/(I4+I6+I8)</f>
        <v>0.11033846387826642</v>
      </c>
      <c r="K47" s="228">
        <f>K45/(K4+K6+K8)</f>
        <v>0.12156095717977886</v>
      </c>
      <c r="M47" s="228">
        <f>M45/(M4+M6+M8)</f>
        <v>0.13242021992103489</v>
      </c>
      <c r="O47" s="228">
        <f>O45/(O4+O6+O8)</f>
        <v>0.14292423419396041</v>
      </c>
      <c r="Q47" s="228">
        <f>Q45/(Q4+Q6+Q8)</f>
        <v>0.15308077886643426</v>
      </c>
      <c r="S47" s="228">
        <f>S45/(S4+S6+S8)</f>
        <v>0.16289743445557156</v>
      </c>
      <c r="U47" s="228">
        <f>U45/(U4+U6+U8)</f>
        <v>0.17238158788133687</v>
      </c>
      <c r="W47" s="228">
        <f>W45/(W4+W6+W8)</f>
        <v>0.18154043710339074</v>
      </c>
      <c r="Y47" s="228">
        <f>Y45/(Y4+Y6+Y8)</f>
        <v>0.19038099564401578</v>
      </c>
      <c r="AA47" s="228">
        <f>AA45/(AA4+AA6+AA8)</f>
        <v>0.19891009699988921</v>
      </c>
      <c r="AC47" s="228">
        <f>AC45/(AC4+AC6+AC8)</f>
        <v>0.20713439894540578</v>
      </c>
      <c r="AE47" s="228">
        <f>AE45/(AE4+AE6+AE8)</f>
        <v>0.21506038773018851</v>
      </c>
      <c r="AG47" s="228">
        <f>AG45/(AG4+AG6+AG8)</f>
        <v>0.22269438217335843</v>
      </c>
    </row>
    <row r="48" spans="1:33" s="228" customFormat="1" ht="13.8">
      <c r="A48" s="228" t="s">
        <v>852</v>
      </c>
      <c r="C48" s="221"/>
      <c r="E48" s="228">
        <f>E45/E43</f>
        <v>0.15000970868451854</v>
      </c>
      <c r="G48" s="228">
        <f>G45/G43</f>
        <v>0.1749777026153416</v>
      </c>
      <c r="I48" s="228">
        <f>I45/I43</f>
        <v>0.20041045558178314</v>
      </c>
      <c r="K48" s="228">
        <f>K45/K43</f>
        <v>0.22631399878052541</v>
      </c>
      <c r="M48" s="228">
        <f>M45/M43</f>
        <v>0.25269431846888185</v>
      </c>
      <c r="O48" s="228">
        <f>O45/O43</f>
        <v>0.27955734798819387</v>
      </c>
      <c r="Q48" s="228">
        <f>Q45/Q43</f>
        <v>0.30690895934790186</v>
      </c>
      <c r="S48" s="228">
        <f>S45/S43</f>
        <v>0.33475495435089458</v>
      </c>
      <c r="U48" s="228">
        <f>U45/U43</f>
        <v>0.36310105523999181</v>
      </c>
      <c r="W48" s="228">
        <f>W45/W43</f>
        <v>0.39195289484457674</v>
      </c>
      <c r="Y48" s="228">
        <f>Y45/Y43</f>
        <v>0.42131600620558257</v>
      </c>
      <c r="AA48" s="228">
        <f>AA45/AA43</f>
        <v>0.45119581165614814</v>
      </c>
      <c r="AC48" s="228">
        <f>AC45/AC43</f>
        <v>0.4815976113343613</v>
      </c>
      <c r="AE48" s="228">
        <f>AE45/AE43</f>
        <v>0.51252657110357058</v>
      </c>
      <c r="AG48" s="228">
        <f>AG45/AG43</f>
        <v>0.54398770985476474</v>
      </c>
    </row>
    <row r="49" spans="1:35" s="229" customFormat="1" ht="13.8">
      <c r="A49" s="229" t="s">
        <v>850</v>
      </c>
      <c r="C49" s="230"/>
      <c r="E49" s="229">
        <f>E37/E43</f>
        <v>1.1500097086845185</v>
      </c>
      <c r="G49" s="229">
        <f>G37/G43</f>
        <v>1.1749777026153416</v>
      </c>
      <c r="I49" s="229">
        <f>I37/I43</f>
        <v>1.2004104555817832</v>
      </c>
      <c r="K49" s="229">
        <f>K37/K43</f>
        <v>1.2263139987805254</v>
      </c>
      <c r="M49" s="229">
        <f>M37/M43</f>
        <v>1.2526943184688819</v>
      </c>
      <c r="O49" s="229">
        <f>O37/O43</f>
        <v>1.2795573479881939</v>
      </c>
      <c r="Q49" s="229">
        <f>Q37/Q43</f>
        <v>1.306908959347902</v>
      </c>
      <c r="S49" s="229">
        <f>S37/S43</f>
        <v>1.3347549543508945</v>
      </c>
      <c r="U49" s="229">
        <f>U37/U43</f>
        <v>1.3631010552399918</v>
      </c>
      <c r="W49" s="229">
        <f>W37/W43</f>
        <v>1.3919528948445767</v>
      </c>
      <c r="Y49" s="229">
        <f>Y37/Y43</f>
        <v>1.4213160062055825</v>
      </c>
      <c r="AA49" s="229">
        <f>AA37/AA43</f>
        <v>1.4511958116561481</v>
      </c>
      <c r="AC49" s="229">
        <f>AC37/AC43</f>
        <v>1.4815976113343614</v>
      </c>
      <c r="AE49" s="229">
        <f>AE37/AE43</f>
        <v>1.5125265711035705</v>
      </c>
      <c r="AG49" s="229">
        <f>AG37/AG43</f>
        <v>1.5439877098547647</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3" t="s">
        <v>2710</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174339.56929310923</v>
      </c>
      <c r="G60" s="963">
        <f>G45-G58</f>
        <v>205130.83929310949</v>
      </c>
      <c r="I60" s="963">
        <f>I45-I58</f>
        <v>236490.82344310958</v>
      </c>
      <c r="K60" s="963">
        <f>K45-K58</f>
        <v>268426.70280085888</v>
      </c>
      <c r="M60" s="963">
        <f>M45-M58</f>
        <v>300945.5917715925</v>
      </c>
      <c r="O60" s="963">
        <f>O45-O58</f>
        <v>334054.52783055365</v>
      </c>
      <c r="Q60" s="963">
        <f>Q45-Q58</f>
        <v>367760.4606873864</v>
      </c>
      <c r="S60" s="963">
        <f>S45-S58</f>
        <v>402070.24086789344</v>
      </c>
      <c r="U60" s="963">
        <f>U45-U58</f>
        <v>436990.60768770706</v>
      </c>
      <c r="W60" s="963">
        <f>W45-W58</f>
        <v>472528.17659136624</v>
      </c>
      <c r="Y60" s="963">
        <f>Y45-Y58</f>
        <v>508689.42582927027</v>
      </c>
      <c r="AA60" s="963">
        <f>AA45-AA58</f>
        <v>545480.68244385859</v>
      </c>
      <c r="AC60" s="963">
        <f>AC45-AC58</f>
        <v>582908.10753523745</v>
      </c>
      <c r="AE60" s="963">
        <f>AE45-AE58</f>
        <v>620977.68077529268</v>
      </c>
      <c r="AG60" s="963">
        <f>AG45-AG58</f>
        <v>659695.18413809373</v>
      </c>
    </row>
    <row r="61" spans="1:35" s="3" customFormat="1" ht="8.25" customHeight="1">
      <c r="C61" s="1259">
        <f>Application!AO630</f>
        <v>1055766</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174339.56929310923</v>
      </c>
      <c r="G62" s="963">
        <f>MIN(G60,$C61-SUM($E62:F62))</f>
        <v>205130.83929310949</v>
      </c>
      <c r="I62" s="963">
        <f>I60*$C$62</f>
        <v>236490.82344310958</v>
      </c>
      <c r="K62" s="963">
        <f>MIN(K60,$C61-SUM($E62:J62))</f>
        <v>268426.70280085888</v>
      </c>
      <c r="M62" s="963">
        <f>MIN(M60,$C61-SUM($E62:L62))</f>
        <v>171378.06516981276</v>
      </c>
      <c r="O62" s="963">
        <f>MIN(O60,$C61-SUM($E62:N62))</f>
        <v>0</v>
      </c>
      <c r="Q62" s="963">
        <f>MIN(Q60,$C61-SUM($E62:P62))</f>
        <v>0</v>
      </c>
      <c r="S62" s="963">
        <f>MIN(S60,$C61-SUM($E62:R62))</f>
        <v>0</v>
      </c>
      <c r="U62" s="963">
        <f>MIN(U60,$C61-SUM($E62:T62))</f>
        <v>0</v>
      </c>
      <c r="W62" s="963">
        <f>MIN(W60,$C61-SUM($E62:V62))</f>
        <v>0</v>
      </c>
      <c r="Y62" s="963">
        <f>MIN(Y60,$C61-SUM($E62:X62))</f>
        <v>0</v>
      </c>
      <c r="AA62" s="963">
        <f>MIN(AA60,$C61-SUM($E62:Z62))</f>
        <v>0</v>
      </c>
      <c r="AC62" s="963">
        <f>MIN(AC60,$C61-SUM($E62:AB62))</f>
        <v>0</v>
      </c>
      <c r="AE62" s="963">
        <f>MIN(AE60,$C61-SUM($E62:AD62))</f>
        <v>0</v>
      </c>
      <c r="AG62" s="963">
        <f>MIN(AG60,$C61-SUM($E62:AF62))</f>
        <v>0</v>
      </c>
    </row>
    <row r="63" spans="1:35" s="963" customFormat="1">
      <c r="A63" s="2693" t="s">
        <v>1184</v>
      </c>
      <c r="B63" s="2693"/>
      <c r="C63" s="2693"/>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4235333</v>
      </c>
      <c r="E66" s="965">
        <f>MIN(E60-E62,$C66-SUM($D66:D66))</f>
        <v>0</v>
      </c>
      <c r="G66" s="965">
        <f>MIN(G60-G62,$C66-SUM($D66:F66))</f>
        <v>0</v>
      </c>
      <c r="I66" s="965">
        <f>MIN(I60-I62,$C66-SUM($D66:H66))</f>
        <v>0</v>
      </c>
      <c r="K66" s="965">
        <f>MIN(K60-K62,$C66-SUM($D66:J66))</f>
        <v>0</v>
      </c>
      <c r="M66" s="965">
        <f>MIN(M60-M62,$C66-SUM($D66:L66))</f>
        <v>129567.52660177974</v>
      </c>
      <c r="O66" s="965">
        <f>MIN(O60-O62,$C66-SUM($D66:N66))</f>
        <v>334054.52783055365</v>
      </c>
      <c r="Q66" s="965">
        <f>MIN(Q60-Q62,$C66-SUM($D66:P66))</f>
        <v>367760.4606873864</v>
      </c>
      <c r="S66" s="965">
        <f>MIN(S60-S62,$C66-SUM($D66:R66))</f>
        <v>402070.24086789344</v>
      </c>
      <c r="U66" s="965">
        <f>MIN(U60-U62,$C66-SUM($D66:T66))</f>
        <v>436990.60768770706</v>
      </c>
      <c r="W66" s="965">
        <f>MIN(W60-W62,$C66-SUM($D66:V66))</f>
        <v>472528.17659136624</v>
      </c>
      <c r="Y66" s="965">
        <f>MIN(Y60-Y62,$C66-SUM($D66:X66))</f>
        <v>508689.42582927027</v>
      </c>
      <c r="AA66" s="965">
        <f>MIN(AA60-AA62,$C66-SUM($D66:Z66))</f>
        <v>545480.68244385859</v>
      </c>
      <c r="AC66" s="965">
        <f>MIN(AC60-AC62,$C66-SUM($D66:AB66))</f>
        <v>582908.10753523745</v>
      </c>
      <c r="AE66" s="965">
        <f>MIN(AE60-AE62,$C66-SUM($D66:AD66))</f>
        <v>455283.24392494699</v>
      </c>
      <c r="AG66" s="965">
        <f>MIN(AG60-AG62,$C66-SUM($D66:AF66))</f>
        <v>0</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0</v>
      </c>
      <c r="M70" s="961">
        <f>SUM(M66:M69)</f>
        <v>129567.52660177974</v>
      </c>
      <c r="O70" s="961">
        <f>SUM(O66:O69)</f>
        <v>334054.52783055365</v>
      </c>
      <c r="Q70" s="961">
        <f>SUM(Q66:Q69)</f>
        <v>367760.4606873864</v>
      </c>
      <c r="S70" s="961">
        <f>SUM(S66:S69)</f>
        <v>402070.24086789344</v>
      </c>
      <c r="U70" s="961">
        <f>SUM(U66:U69)</f>
        <v>436990.60768770706</v>
      </c>
      <c r="W70" s="961">
        <f>SUM(W66:W69)</f>
        <v>472528.17659136624</v>
      </c>
      <c r="Y70" s="961">
        <f>SUM(Y66:Y69)</f>
        <v>508689.42582927027</v>
      </c>
      <c r="AA70" s="961">
        <f>SUM(AA66:AA69)</f>
        <v>545480.68244385859</v>
      </c>
      <c r="AC70" s="961">
        <f>SUM(AC66:AC69)</f>
        <v>582908.10753523745</v>
      </c>
      <c r="AE70" s="961">
        <f>SUM(AE66:AE69)</f>
        <v>455283.24392494699</v>
      </c>
      <c r="AG70" s="961">
        <f>SUM(AG66:AG69)</f>
        <v>0</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165694.43685034569</v>
      </c>
      <c r="AG72" s="963">
        <f>AG60-AG62-AG70</f>
        <v>659695.18413809373</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4500000</v>
      </c>
      <c r="C5" s="267">
        <f>'Sources and Uses Budget'!$C4</f>
        <v>4500000</v>
      </c>
      <c r="D5" s="271">
        <f>C5-B5</f>
        <v>0</v>
      </c>
      <c r="E5" s="269"/>
      <c r="F5" s="268"/>
    </row>
    <row r="6" spans="1:6" s="353" customFormat="1">
      <c r="A6" s="365" t="s">
        <v>28</v>
      </c>
      <c r="B6" s="267">
        <f>'Sources and Uses Budget'!$C5</f>
        <v>52000</v>
      </c>
      <c r="C6" s="267">
        <f>'Sources and Uses Budget'!$C5</f>
        <v>52000</v>
      </c>
      <c r="D6" s="271">
        <f t="shared" ref="D6:D77" si="0">C6-B6</f>
        <v>0</v>
      </c>
      <c r="E6" s="269"/>
      <c r="F6" s="268"/>
    </row>
    <row r="7" spans="1:6" s="353" customFormat="1">
      <c r="A7" s="365" t="s">
        <v>29</v>
      </c>
      <c r="B7" s="267">
        <f>'Sources and Uses Budget'!$C6</f>
        <v>35250</v>
      </c>
      <c r="C7" s="267">
        <f>'Sources and Uses Budget'!$C6</f>
        <v>35250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4587250</v>
      </c>
      <c r="C9" s="271">
        <f>SUM(C5:C8)</f>
        <v>4587250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4587250</v>
      </c>
      <c r="C13" s="271">
        <f>SUM(C9+C12)</f>
        <v>4587250</v>
      </c>
      <c r="D13" s="271">
        <f t="shared" si="0"/>
        <v>0</v>
      </c>
      <c r="E13" s="269"/>
      <c r="F13" s="268"/>
    </row>
    <row r="14" spans="1:6" s="353" customFormat="1">
      <c r="A14" s="367" t="s">
        <v>902</v>
      </c>
      <c r="B14" s="267">
        <f>'Sources and Uses Budget'!$C13</f>
        <v>735333</v>
      </c>
      <c r="C14" s="267">
        <f>'Sources and Uses Budget'!$C13</f>
        <v>735333</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210000</v>
      </c>
      <c r="C28" s="267">
        <f>'Sources and Uses Budget'!$C$27</f>
        <v>210000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262646</v>
      </c>
      <c r="C30" s="267">
        <f>'Sources and Uses Budget'!$C29</f>
        <v>262646</v>
      </c>
      <c r="D30" s="271">
        <f t="shared" si="0"/>
        <v>0</v>
      </c>
      <c r="E30" s="269"/>
      <c r="F30" s="268"/>
    </row>
    <row r="31" spans="1:6" s="353" customFormat="1">
      <c r="A31" s="145" t="s">
        <v>599</v>
      </c>
      <c r="B31" s="267">
        <f>'Sources and Uses Budget'!$C30</f>
        <v>15708604</v>
      </c>
      <c r="C31" s="267">
        <f>'Sources and Uses Budget'!$C30</f>
        <v>15708604</v>
      </c>
      <c r="D31" s="271">
        <f t="shared" si="0"/>
        <v>0</v>
      </c>
      <c r="E31" s="269"/>
      <c r="F31" s="268"/>
    </row>
    <row r="32" spans="1:6" s="353" customFormat="1">
      <c r="A32" s="145" t="s">
        <v>600</v>
      </c>
      <c r="B32" s="267">
        <f>'Sources and Uses Budget'!$C31</f>
        <v>800000</v>
      </c>
      <c r="C32" s="267">
        <f>'Sources and Uses Budget'!$C31</f>
        <v>800000</v>
      </c>
      <c r="D32" s="271">
        <f t="shared" si="0"/>
        <v>0</v>
      </c>
      <c r="E32" s="269"/>
      <c r="F32" s="268"/>
    </row>
    <row r="33" spans="1:6" s="353" customFormat="1">
      <c r="A33" s="145" t="s">
        <v>137</v>
      </c>
      <c r="B33" s="267">
        <f>'Sources and Uses Budget'!$C32</f>
        <v>650000</v>
      </c>
      <c r="C33" s="267">
        <f>'Sources and Uses Budget'!$C32</f>
        <v>650000</v>
      </c>
      <c r="D33" s="271">
        <f t="shared" si="0"/>
        <v>0</v>
      </c>
      <c r="E33" s="269"/>
      <c r="F33" s="268"/>
    </row>
    <row r="34" spans="1:6" s="353" customFormat="1">
      <c r="A34" s="145" t="s">
        <v>138</v>
      </c>
      <c r="B34" s="267">
        <f>'Sources and Uses Budget'!$C33</f>
        <v>669471</v>
      </c>
      <c r="C34" s="267">
        <f>'Sources and Uses Budget'!$C33</f>
        <v>669471</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164934</v>
      </c>
      <c r="C36" s="267">
        <f>'Sources and Uses Budget'!$C35</f>
        <v>164934</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18255655</v>
      </c>
      <c r="C39" s="271">
        <f>SUM(C30:C38)</f>
        <v>18255655</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139600</v>
      </c>
      <c r="C41" s="267">
        <f>'Sources and Uses Budget'!$C40</f>
        <v>139600</v>
      </c>
      <c r="D41" s="271">
        <f t="shared" si="0"/>
        <v>0</v>
      </c>
      <c r="E41" s="269"/>
      <c r="F41" s="268"/>
    </row>
    <row r="42" spans="1:6" s="353" customFormat="1">
      <c r="A42" s="270" t="s">
        <v>146</v>
      </c>
      <c r="B42" s="267">
        <f>'Sources and Uses Budget'!$C41</f>
        <v>10000</v>
      </c>
      <c r="C42" s="267">
        <f>'Sources and Uses Budget'!$C41</f>
        <v>10000</v>
      </c>
      <c r="D42" s="271">
        <f t="shared" si="0"/>
        <v>0</v>
      </c>
      <c r="E42" s="269"/>
      <c r="F42" s="268"/>
    </row>
    <row r="43" spans="1:6" s="353" customFormat="1">
      <c r="A43" s="272" t="s">
        <v>147</v>
      </c>
      <c r="B43" s="271">
        <f>SUM(B41:B42)</f>
        <v>149600</v>
      </c>
      <c r="C43" s="271">
        <f>SUM(C41:C42)</f>
        <v>149600</v>
      </c>
      <c r="D43" s="271">
        <f t="shared" si="0"/>
        <v>0</v>
      </c>
      <c r="E43" s="269"/>
      <c r="F43" s="268"/>
    </row>
    <row r="44" spans="1:6" s="353" customFormat="1">
      <c r="A44" s="272" t="s">
        <v>148</v>
      </c>
      <c r="B44" s="267">
        <f>'Sources and Uses Budget'!$C43</f>
        <v>719525</v>
      </c>
      <c r="C44" s="267">
        <f>'Sources and Uses Budget'!$C43</f>
        <v>719525</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2277000</v>
      </c>
      <c r="C46" s="267">
        <f>'Sources and Uses Budget'!$C45</f>
        <v>2277000</v>
      </c>
      <c r="D46" s="271">
        <f t="shared" si="0"/>
        <v>0</v>
      </c>
      <c r="E46" s="269"/>
      <c r="F46" s="268"/>
    </row>
    <row r="47" spans="1:6" s="353" customFormat="1">
      <c r="A47" s="145" t="s">
        <v>151</v>
      </c>
      <c r="B47" s="267">
        <f>'Sources and Uses Budget'!$C46</f>
        <v>257350</v>
      </c>
      <c r="C47" s="267">
        <f>'Sources and Uses Budget'!$C46</f>
        <v>257350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48081</v>
      </c>
      <c r="C52" s="267">
        <f>'Sources and Uses Budget'!$C51</f>
        <v>48081</v>
      </c>
      <c r="D52" s="271">
        <f t="shared" si="0"/>
        <v>0</v>
      </c>
      <c r="E52" s="269"/>
      <c r="F52" s="268"/>
    </row>
    <row r="53" spans="1:6" s="353" customFormat="1">
      <c r="A53" s="145" t="s">
        <v>155</v>
      </c>
      <c r="B53" s="267">
        <f>'Sources and Uses Budget'!$C52</f>
        <v>346958</v>
      </c>
      <c r="C53" s="267">
        <f>'Sources and Uses Budget'!$C52</f>
        <v>346958</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3050389</v>
      </c>
      <c r="C55" s="274">
        <f>SUM(C46:C54)</f>
        <v>3050389</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433369</v>
      </c>
      <c r="C58" s="267">
        <f>'Sources and Uses Budget'!$C57</f>
        <v>433369</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433369</v>
      </c>
      <c r="C63" s="271">
        <f>SUM(C57:C62)</f>
        <v>433369</v>
      </c>
      <c r="D63" s="271">
        <f t="shared" si="0"/>
        <v>0</v>
      </c>
      <c r="E63" s="269"/>
      <c r="F63" s="268"/>
    </row>
    <row r="64" spans="1:6" s="353" customFormat="1">
      <c r="A64" s="275" t="s">
        <v>301</v>
      </c>
      <c r="B64" s="271">
        <f>SUM(B9+B12+B14+B15+B17+B26+B28+B39+B43+B44+B55+B63)</f>
        <v>28141121</v>
      </c>
      <c r="C64" s="271">
        <f>SUM(C9+C12+C14+C15+C17+C26+C28+C39+C43+C44+C55+C63)</f>
        <v>28141121</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465931</v>
      </c>
      <c r="C76" s="267">
        <f>'Sources and Uses Budget'!$C75</f>
        <v>465931</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465931</v>
      </c>
      <c r="C78" s="271">
        <f>SUM(C73:C77)</f>
        <v>465931</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915383</v>
      </c>
      <c r="C80" s="267">
        <f>'Sources and Uses Budget'!$C79</f>
        <v>915383</v>
      </c>
      <c r="D80" s="271">
        <f t="shared" si="1"/>
        <v>0</v>
      </c>
      <c r="E80" s="269"/>
      <c r="F80" s="268"/>
    </row>
    <row r="81" spans="1:6" s="353" customFormat="1">
      <c r="A81" s="511" t="s">
        <v>58</v>
      </c>
      <c r="B81" s="267">
        <f>'Sources and Uses Budget'!$C80</f>
        <v>311653</v>
      </c>
      <c r="C81" s="267">
        <f>'Sources and Uses Budget'!$C80</f>
        <v>311653</v>
      </c>
      <c r="D81" s="271">
        <f>C81-B81</f>
        <v>0</v>
      </c>
      <c r="E81" s="269"/>
      <c r="F81" s="268"/>
    </row>
    <row r="82" spans="1:6" s="353" customFormat="1">
      <c r="A82" s="272" t="s">
        <v>1209</v>
      </c>
      <c r="B82" s="271">
        <f>SUM(B80:B81)</f>
        <v>1227036</v>
      </c>
      <c r="C82" s="271">
        <f>SUM(C80:C81)</f>
        <v>1227036</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87021</v>
      </c>
      <c r="C84" s="267">
        <f>'Sources and Uses Budget'!$C83</f>
        <v>87021</v>
      </c>
      <c r="D84" s="271">
        <f t="shared" si="1"/>
        <v>0</v>
      </c>
      <c r="E84" s="269"/>
      <c r="F84" s="268"/>
    </row>
    <row r="85" spans="1:6" s="353" customFormat="1">
      <c r="A85" s="270" t="s">
        <v>767</v>
      </c>
      <c r="B85" s="267">
        <f>'Sources and Uses Budget'!$C84</f>
        <v>33000</v>
      </c>
      <c r="C85" s="267">
        <f>'Sources and Uses Budget'!$C84</f>
        <v>33000</v>
      </c>
      <c r="D85" s="271">
        <f t="shared" si="1"/>
        <v>0</v>
      </c>
      <c r="E85" s="269"/>
      <c r="F85" s="268"/>
    </row>
    <row r="86" spans="1:6" s="353" customFormat="1">
      <c r="A86" s="270" t="s">
        <v>768</v>
      </c>
      <c r="B86" s="267">
        <f>'Sources and Uses Budget'!$C85</f>
        <v>419477</v>
      </c>
      <c r="C86" s="267">
        <f>'Sources and Uses Budget'!$C85</f>
        <v>419477</v>
      </c>
      <c r="D86" s="271">
        <f t="shared" si="1"/>
        <v>0</v>
      </c>
      <c r="E86" s="269"/>
      <c r="F86" s="268"/>
    </row>
    <row r="87" spans="1:6" s="353" customFormat="1">
      <c r="A87" s="270" t="s">
        <v>769</v>
      </c>
      <c r="B87" s="267">
        <f>'Sources and Uses Budget'!$C86</f>
        <v>475132</v>
      </c>
      <c r="C87" s="267">
        <f>'Sources and Uses Budget'!$C86</f>
        <v>475132</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43500</v>
      </c>
      <c r="C89" s="267">
        <f>'Sources and Uses Budget'!$C88</f>
        <v>43500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48000</v>
      </c>
      <c r="C92" s="267">
        <f>'Sources and Uses Budget'!$C91</f>
        <v>48000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1161630</v>
      </c>
      <c r="C97" s="271">
        <f>SUM(C84:C96)</f>
        <v>1161630</v>
      </c>
      <c r="D97" s="271">
        <f t="shared" si="1"/>
        <v>0</v>
      </c>
      <c r="E97" s="269"/>
      <c r="F97" s="268"/>
    </row>
    <row r="98" spans="1:6" s="353" customFormat="1">
      <c r="A98" s="272" t="s">
        <v>775</v>
      </c>
      <c r="B98" s="271">
        <f>SUM(B64+B71+B78+B82+B97)</f>
        <v>31245718</v>
      </c>
      <c r="C98" s="271">
        <f>SUM(C64+C71+C78+C82+C97)</f>
        <v>31245718</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3542672</v>
      </c>
      <c r="C100" s="267">
        <f>'Sources and Uses Budget'!$C99</f>
        <v>3542672</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3542672</v>
      </c>
      <c r="C105" s="271">
        <f>SUM(C100:C104)</f>
        <v>3542672</v>
      </c>
      <c r="D105" s="271">
        <f t="shared" si="1"/>
        <v>0</v>
      </c>
      <c r="E105" s="269"/>
      <c r="F105" s="268"/>
    </row>
    <row r="106" spans="1:6" s="353" customFormat="1">
      <c r="A106" s="272" t="s">
        <v>780</v>
      </c>
      <c r="B106" s="274">
        <f>SUM(B98+B105)</f>
        <v>34788390</v>
      </c>
      <c r="C106" s="274">
        <f>SUM(C98+C105)</f>
        <v>34788390</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70" t="s">
        <v>2046</v>
      </c>
      <c r="B72" s="1270"/>
      <c r="C72" s="1270"/>
      <c r="D72" s="1270"/>
      <c r="E72" s="1270"/>
    </row>
    <row r="73" spans="1:9" ht="13.2">
      <c r="A73" s="1270" t="s">
        <v>2047</v>
      </c>
      <c r="B73" s="1270"/>
      <c r="C73" s="1270"/>
      <c r="D73" s="1270"/>
      <c r="E73" s="1270"/>
    </row>
    <row r="74" spans="1:9" ht="13.2">
      <c r="A74" s="1270" t="s">
        <v>1871</v>
      </c>
      <c r="B74" s="1270"/>
      <c r="C74" s="1270"/>
      <c r="D74" s="1270"/>
      <c r="E74" s="1270"/>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6" workbookViewId="0">
      <selection activeCell="AY706"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11</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2513</v>
      </c>
      <c r="BE8" s="1253">
        <f>SUMIF($AC$718:$AC$752,"&lt;=35%",$G$718:G$752)-SUM($BE$5:BE7)</f>
        <v>0</v>
      </c>
    </row>
    <row r="9" spans="1:58" ht="13.0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2505</v>
      </c>
      <c r="BE9" s="1253">
        <f>SUMIF($AC$718:$AC$752,"&lt;=40%",$G$718:G$752)-SUM($BE$5:BE8)</f>
        <v>0</v>
      </c>
    </row>
    <row r="10" spans="1:58" ht="13.05"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3">
        <f>SUMIF($AC$718:$AC$752,"&lt;=45%",$G$718:G$752)-SUM($BE$5:BE9)</f>
        <v>0</v>
      </c>
    </row>
    <row r="11" spans="1:58" ht="13.05"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2506</v>
      </c>
      <c r="BE11" s="1253">
        <f>SUMIF($AC$718:$AC$752,"&lt;=50%",$G$718:G$752)-SUM($BE$5:BE10)</f>
        <v>11</v>
      </c>
    </row>
    <row r="12" spans="1:58" ht="13.05" customHeight="1">
      <c r="A12" s="1412" t="s">
        <v>2598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3">
        <f>SUMIF($AC$718:$AC$752,"&lt;=55%",$G$718:G$752)-SUM($BE$5:BE11)</f>
        <v>0</v>
      </c>
    </row>
    <row r="13" spans="1:58" ht="13.0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2507</v>
      </c>
      <c r="BE13" s="1253">
        <f>SUMIF($AC$718:$AC$752,"&lt;=60%",$G$718:G$752)-SUM($BE$5:BE12)</f>
        <v>35</v>
      </c>
    </row>
    <row r="14" spans="1:58" ht="13.0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2508</v>
      </c>
      <c r="BE14" s="1253">
        <f>SUMIF($AC$718:$AC$752,"&lt;=70%",$G$718:G$752)-SUM($BE$5:BE13)</f>
        <v>44</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420" t="s">
        <v>2610</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656</v>
      </c>
      <c r="BE16" s="1253" t="str">
        <f>Application!H18</f>
        <v>12432 Moorpark</v>
      </c>
    </row>
    <row r="17" spans="1:58" ht="13.05" customHeight="1">
      <c r="BD17" s="1251" t="s">
        <v>2522</v>
      </c>
      <c r="BE17" s="1253">
        <f>Application!AA934</f>
        <v>0</v>
      </c>
    </row>
    <row r="18" spans="1:58" ht="13.05" customHeight="1">
      <c r="A18" s="57" t="s">
        <v>101</v>
      </c>
      <c r="C18" s="4"/>
      <c r="D18" s="4"/>
      <c r="E18" s="4"/>
      <c r="F18" s="4"/>
      <c r="G18" s="4"/>
      <c r="H18" s="1417" t="s">
        <v>2611</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52" t="s">
        <v>2523</v>
      </c>
      <c r="BE18" s="1253">
        <f>'CalHFA Addendum'!N11</f>
        <v>0</v>
      </c>
    </row>
    <row r="19" spans="1:58" ht="13.05" customHeight="1">
      <c r="BD19" s="1251" t="s">
        <v>2524</v>
      </c>
      <c r="BE19" s="1253">
        <f>Application!M26</f>
        <v>1412345</v>
      </c>
    </row>
    <row r="20" spans="1:58" ht="13.0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2525</v>
      </c>
      <c r="BE20" s="1253">
        <f>Application!M27</f>
        <v>0</v>
      </c>
    </row>
    <row r="21" spans="1:58" ht="13.0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2526</v>
      </c>
      <c r="BE21" s="1253">
        <f>Application!AM554</f>
        <v>17975000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34788390</v>
      </c>
      <c r="BF22" s="3" t="s">
        <v>2600</v>
      </c>
    </row>
    <row r="23" spans="1:58" ht="13.0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2527</v>
      </c>
      <c r="BE23" s="1253">
        <f>'Sources and Uses Budget'!B4</f>
        <v>4500000</v>
      </c>
    </row>
    <row r="24" spans="1:58" ht="13.0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2528</v>
      </c>
      <c r="BE24" s="1253">
        <f>Application!AG450</f>
        <v>72735</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419">
        <f>'Basis &amp; Credits'!AB56</f>
        <v>1412345</v>
      </c>
      <c r="N26" s="1419"/>
      <c r="O26" s="1419"/>
      <c r="P26" s="1419"/>
      <c r="Q26" s="1419"/>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2531</v>
      </c>
      <c r="BE29" s="1253" t="b">
        <f>Application!M358="Yes"</f>
        <v>0</v>
      </c>
    </row>
    <row r="30" spans="1:58" ht="13.0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1</v>
      </c>
    </row>
    <row r="31" spans="1:58" ht="13.0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333" t="s">
        <v>669</v>
      </c>
      <c r="P33" s="1333"/>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City of Los Angeles</v>
      </c>
    </row>
    <row r="34" spans="1:57" ht="13.0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2534</v>
      </c>
      <c r="BE34" s="1253" t="str">
        <f>Application!I185</f>
        <v>12432 Moorpark St</v>
      </c>
    </row>
    <row r="35" spans="1:57" ht="13.0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2535</v>
      </c>
      <c r="BE35" s="1253" t="str">
        <f>IF(Application!E187="","",Application!E187)</f>
        <v/>
      </c>
    </row>
    <row r="36" spans="1:57" ht="13.0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2536</v>
      </c>
      <c r="BE36" s="1253" t="str">
        <f>Application!I189</f>
        <v>Los Angeles</v>
      </c>
    </row>
    <row r="37" spans="1:57" ht="13.0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2537</v>
      </c>
      <c r="BE37" s="1253" t="str">
        <f>Application!T189</f>
        <v>Los Angeles</v>
      </c>
    </row>
    <row r="38" spans="1:57" ht="13.05" customHeight="1">
      <c r="A38" s="3"/>
      <c r="AZ38" s="20"/>
      <c r="BD38" s="1252" t="s">
        <v>2538</v>
      </c>
      <c r="BE38" s="1253">
        <f>Application!I190</f>
        <v>91604</v>
      </c>
    </row>
    <row r="39" spans="1:57" ht="13.0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2539</v>
      </c>
      <c r="BE39" s="1253">
        <f>Application!AG437</f>
        <v>102</v>
      </c>
    </row>
    <row r="40" spans="1:57" ht="13.0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383</v>
      </c>
      <c r="BE40" s="1253">
        <f>Application!AG440</f>
        <v>101</v>
      </c>
    </row>
    <row r="41" spans="1:57" ht="13.0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286</v>
      </c>
      <c r="BE41" s="1253">
        <f>Application!AG438</f>
        <v>0</v>
      </c>
    </row>
    <row r="42" spans="1:57" ht="13.0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2540</v>
      </c>
      <c r="BE42" s="1255">
        <f>Application!AC753</f>
        <v>0.6</v>
      </c>
    </row>
    <row r="43" spans="1:57" ht="13.0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2541</v>
      </c>
      <c r="BE43" s="1255">
        <f>Application!AH753</f>
        <v>0.56411525767961412</v>
      </c>
    </row>
    <row r="44" spans="1:57" ht="13.0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2542</v>
      </c>
      <c r="BE44" s="1253">
        <f>Application!AC454</f>
        <v>341062.64705882355</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2544</v>
      </c>
      <c r="BE46" s="1253" t="b">
        <f>Application!T195="Yes"</f>
        <v>1</v>
      </c>
    </row>
    <row r="47" spans="1:57" ht="13.0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2545</v>
      </c>
      <c r="BE47" s="1253" t="b">
        <f>Application!T196="Yes"</f>
        <v>0</v>
      </c>
    </row>
    <row r="48" spans="1:57" ht="13.0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2546</v>
      </c>
      <c r="BE48" s="1253" t="str">
        <f>Application!M243</f>
        <v>HVN 12432 Moorpark LLC</v>
      </c>
    </row>
    <row r="49" spans="1:57" ht="13.0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2552</v>
      </c>
      <c r="BE54" s="1253">
        <f>Application!M259</f>
        <v>0</v>
      </c>
    </row>
    <row r="55" spans="1:57" ht="13.0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2553</v>
      </c>
      <c r="BE55" s="1253">
        <f>Application!M262</f>
        <v>0</v>
      </c>
    </row>
    <row r="56" spans="1:57" ht="13.0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2554</v>
      </c>
      <c r="BE56" s="1253">
        <f>Application!AA265</f>
        <v>0</v>
      </c>
    </row>
    <row r="57" spans="1:57" ht="13.0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2555</v>
      </c>
      <c r="BE57" s="1253" t="str">
        <f>Application!H287</f>
        <v>HVN Development LLC</v>
      </c>
    </row>
    <row r="58" spans="1:57" ht="13.0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2558</v>
      </c>
      <c r="BE60" s="1253" t="str">
        <f>Application!H290</f>
        <v>Tommy Beadel</v>
      </c>
    </row>
    <row r="61" spans="1:57" ht="13.0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2597</v>
      </c>
      <c r="BE65" s="1253" t="str">
        <f>Z205</f>
        <v>(select)</v>
      </c>
    </row>
    <row r="66" spans="1:57" ht="13.0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2562</v>
      </c>
      <c r="BE66" s="1253" t="b">
        <f>Application!Z205="State Farmworker Credit"</f>
        <v>0</v>
      </c>
    </row>
    <row r="67" spans="1:57" ht="13.0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2565</v>
      </c>
      <c r="BE69" s="1253" t="str">
        <f>Application!W700</f>
        <v>CA Municipal Finance Authority</v>
      </c>
    </row>
    <row r="70" spans="1:57" ht="13.0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2568</v>
      </c>
      <c r="BE72" s="1253">
        <f>'Points System'!AF805</f>
        <v>10</v>
      </c>
    </row>
    <row r="73" spans="1:57" ht="13.0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1" t="s">
        <v>2571</v>
      </c>
      <c r="BE75" s="1253">
        <f>'Points System'!AF808</f>
        <v>10</v>
      </c>
    </row>
    <row r="76" spans="1:57" ht="13.0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2" t="s">
        <v>2572</v>
      </c>
      <c r="BE76" s="1253">
        <f>'Points System'!AF811</f>
        <v>10</v>
      </c>
    </row>
    <row r="77" spans="1:57" ht="13.0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2575</v>
      </c>
      <c r="BE79" s="1253">
        <f>'Points System'!AF815</f>
        <v>9</v>
      </c>
    </row>
    <row r="80" spans="1:57" ht="13.0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2576</v>
      </c>
      <c r="BE80" s="1253">
        <f>'Points System'!AF817</f>
        <v>10</v>
      </c>
    </row>
    <row r="81" spans="1:57" ht="13.0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2579</v>
      </c>
      <c r="BE83" s="1257">
        <f>'Tie Breaker'!H5</f>
        <v>1.6550122916948089</v>
      </c>
    </row>
    <row r="84" spans="1:57" ht="13.0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2582</v>
      </c>
      <c r="BE86" s="1253" t="str">
        <f>Application!O155</f>
        <v>City Manager</v>
      </c>
    </row>
    <row r="87" spans="1:57" ht="13.0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1" t="s">
        <v>2585</v>
      </c>
      <c r="BE89" s="1253">
        <f>Application!O158</f>
        <v>90017</v>
      </c>
    </row>
    <row r="90" spans="1:57" ht="13.0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2" t="s">
        <v>2588</v>
      </c>
      <c r="BE92" s="1253" t="str">
        <f>Application!M234</f>
        <v>Irvine</v>
      </c>
    </row>
    <row r="93" spans="1:57" ht="13.0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1" t="s">
        <v>2589</v>
      </c>
      <c r="BE93" s="1253" t="str">
        <f>Application!W234</f>
        <v>CA</v>
      </c>
    </row>
    <row r="94" spans="1:57" ht="13.0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2" t="s">
        <v>2590</v>
      </c>
      <c r="BE94" s="1253">
        <f>Application!AC234</f>
        <v>92618</v>
      </c>
    </row>
    <row r="95" spans="1:57" ht="13.0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1" t="s">
        <v>2591</v>
      </c>
      <c r="BE95" s="1253" t="str">
        <f>Application!M235</f>
        <v>Tommy Beadel</v>
      </c>
    </row>
    <row r="96" spans="1:57" ht="13.0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2" t="s">
        <v>2592</v>
      </c>
      <c r="BE96" s="1253" t="str">
        <f>Application!M237</f>
        <v>tommy@hvndevelopment.com</v>
      </c>
    </row>
    <row r="97" spans="1:57" ht="13.0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1" t="s">
        <v>2593</v>
      </c>
      <c r="BE97" s="1253" t="str">
        <f>Application!M248</f>
        <v>tommy@hvndevelopment.com</v>
      </c>
    </row>
    <row r="98" spans="1:57" ht="13.0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2" t="s">
        <v>2596</v>
      </c>
      <c r="BE100" s="1253" t="str">
        <f>Application!L279</f>
        <v>tommy@hvndevelopment.com</v>
      </c>
    </row>
    <row r="101" spans="1:57" ht="13.0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2602</v>
      </c>
      <c r="BE101">
        <f>'Sources and Uses Budget'!C105</f>
        <v>34788390</v>
      </c>
    </row>
    <row r="102" spans="1:57" ht="13.0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2603</v>
      </c>
      <c r="BE102" t="b">
        <f>T197="Yes"</f>
        <v>0</v>
      </c>
    </row>
    <row r="103" spans="1:57" ht="13.0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0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789"/>
      <c r="H113" s="1789"/>
      <c r="I113" s="3" t="s">
        <v>181</v>
      </c>
      <c r="L113" s="1789"/>
      <c r="M113" s="1789"/>
      <c r="N113" s="1789"/>
      <c r="O113" s="1789"/>
      <c r="P113" s="1795" t="s">
        <v>2243</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0"/>
      <c r="D115" s="1800"/>
      <c r="E115" s="1800"/>
      <c r="F115" s="1800"/>
      <c r="G115" s="1800"/>
      <c r="H115" s="1800"/>
      <c r="I115" s="1800"/>
      <c r="J115" s="1800"/>
      <c r="K115" s="180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3.0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417" t="s">
        <v>875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46" t="s">
        <v>2612</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CR155" s="31"/>
      <c r="CS155" s="32"/>
      <c r="CT155" s="32"/>
      <c r="CU155" s="32"/>
      <c r="CV155" s="32"/>
      <c r="CW155" s="32"/>
      <c r="CX155" s="14"/>
      <c r="CY155" s="31"/>
      <c r="CZ155" s="14"/>
      <c r="DA155" s="14"/>
      <c r="DB155" s="14"/>
      <c r="DC155" s="14"/>
      <c r="DD155" s="14"/>
    </row>
    <row r="156" spans="1:108" ht="13.05" customHeight="1">
      <c r="D156" t="s">
        <v>312</v>
      </c>
      <c r="O156" s="1417" t="s">
        <v>2613</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17" t="s">
        <v>494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92">
        <v>90017</v>
      </c>
      <c r="P158" s="1792"/>
      <c r="Q158" s="1792"/>
      <c r="R158" s="1792"/>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79" t="s">
        <v>2614</v>
      </c>
      <c r="P159" s="1780"/>
      <c r="Q159" s="1780"/>
      <c r="R159" s="1780"/>
      <c r="S159" s="1780"/>
      <c r="T159" s="1780"/>
      <c r="V159" s="97" t="s">
        <v>270</v>
      </c>
      <c r="W159" s="1793"/>
      <c r="X159" s="1793"/>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784" t="s">
        <v>2615</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333" t="s">
        <v>669</v>
      </c>
      <c r="V175" s="1333"/>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426"/>
      <c r="V176" s="1426"/>
      <c r="W176" s="1" t="s">
        <v>305</v>
      </c>
      <c r="X176" s="1783"/>
      <c r="Y176" s="1783"/>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333" t="s">
        <v>669</v>
      </c>
      <c r="S177" s="1333"/>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782"/>
      <c r="AG178" s="1782"/>
      <c r="AH178" s="1" t="s">
        <v>305</v>
      </c>
      <c r="AI178" s="1805"/>
      <c r="AJ178" s="1805"/>
      <c r="AK178" s="180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333" t="s">
        <v>669</v>
      </c>
      <c r="Y180" s="1333"/>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359" t="str">
        <f>H18</f>
        <v>12432 Moorpark</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46" t="s">
        <v>2616</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417" t="s">
        <v>494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49">
        <v>91604</v>
      </c>
      <c r="J190" s="1349"/>
      <c r="K190" s="1349"/>
      <c r="L190" s="1349"/>
      <c r="M190" s="1349"/>
      <c r="N190" s="1349"/>
      <c r="O190" t="s">
        <v>585</v>
      </c>
      <c r="T190" s="1790">
        <v>1435</v>
      </c>
      <c r="U190" s="1790"/>
      <c r="V190" s="1790"/>
      <c r="W190" s="1790"/>
      <c r="X190" s="1790"/>
      <c r="Y190" s="1790"/>
      <c r="Z190" s="1790"/>
      <c r="AA190" s="1790"/>
      <c r="AB190" s="1790"/>
      <c r="AC190" s="1790"/>
      <c r="AD190" s="1790"/>
      <c r="AE190" s="1790"/>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803" t="s">
        <v>2617</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794" t="s">
        <v>1970</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333" t="s">
        <v>669</v>
      </c>
      <c r="AI194" s="1333"/>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333" t="s">
        <v>545</v>
      </c>
      <c r="U195" s="1333"/>
      <c r="W195" t="s">
        <v>684</v>
      </c>
      <c r="AH195" s="1333">
        <v>32</v>
      </c>
      <c r="AI195" s="1333"/>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03" t="s">
        <v>669</v>
      </c>
      <c r="U196" s="1403"/>
      <c r="W196" t="s">
        <v>685</v>
      </c>
      <c r="AH196" s="1333">
        <v>44</v>
      </c>
      <c r="AI196" s="1333"/>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03" t="s">
        <v>669</v>
      </c>
      <c r="U197" s="1403"/>
      <c r="W197" t="s">
        <v>686</v>
      </c>
      <c r="AH197" s="1333">
        <v>27</v>
      </c>
      <c r="AI197" s="1333"/>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03"/>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333"/>
      <c r="U200" s="1333"/>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359" t="s">
        <v>384</v>
      </c>
      <c r="E204" s="1359"/>
      <c r="F204" s="1359"/>
      <c r="G204" s="1359"/>
      <c r="H204" s="1359"/>
      <c r="I204" s="1359"/>
      <c r="J204" s="1359"/>
      <c r="K204" s="1359"/>
      <c r="L204" s="1359"/>
      <c r="M204" s="1359"/>
      <c r="P204" s="1802">
        <f>M26</f>
        <v>1412345</v>
      </c>
      <c r="Q204" s="1781"/>
      <c r="R204" s="1781"/>
      <c r="S204" s="1781"/>
      <c r="T204" s="1781"/>
      <c r="U204" s="1781"/>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812" t="s">
        <v>1247</v>
      </c>
      <c r="E205" s="1359"/>
      <c r="F205" s="1359"/>
      <c r="G205" s="1359"/>
      <c r="H205" s="1359"/>
      <c r="I205" s="1359"/>
      <c r="J205" s="1359"/>
      <c r="K205" s="1359"/>
      <c r="L205" s="1359"/>
      <c r="M205" s="1359"/>
      <c r="P205" s="1781">
        <f>M27</f>
        <v>0</v>
      </c>
      <c r="Q205" s="1781"/>
      <c r="R205" s="1781"/>
      <c r="S205" s="1781"/>
      <c r="T205" s="1781"/>
      <c r="U205" s="1781"/>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418" t="s">
        <v>2618</v>
      </c>
      <c r="E208" s="1418"/>
      <c r="F208" s="1418"/>
      <c r="G208" s="1418"/>
      <c r="H208" s="1418"/>
      <c r="I208" s="1418"/>
      <c r="J208" s="1418"/>
      <c r="K208" s="1418"/>
      <c r="L208" s="1418"/>
      <c r="M208" s="1418"/>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418" t="s">
        <v>1857</v>
      </c>
      <c r="E211" s="1418"/>
      <c r="F211" s="1418"/>
      <c r="G211" s="1418"/>
      <c r="H211" s="1418"/>
      <c r="I211" s="1418"/>
      <c r="J211" s="1418"/>
      <c r="K211" s="1418"/>
      <c r="L211" s="1418"/>
      <c r="M211" s="1418"/>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333">
        <v>0</v>
      </c>
      <c r="R212" s="1333"/>
      <c r="T212" s="1796">
        <f>IFERROR(Q212/AG440,0)</f>
        <v>0</v>
      </c>
      <c r="U212" s="1797"/>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875</v>
      </c>
      <c r="AD220" s="1811"/>
      <c r="AE220" s="1811"/>
      <c r="AF220" s="1811"/>
      <c r="AG220" s="1811"/>
      <c r="AH220" s="1811"/>
      <c r="AI220" s="1811"/>
      <c r="AJ220" s="1811"/>
      <c r="AK220" s="1811"/>
      <c r="AL220" s="1811"/>
      <c r="AM220" s="1811"/>
      <c r="AN220" s="1811"/>
      <c r="AO220" s="1811"/>
      <c r="AP220" s="1811"/>
      <c r="AQ220" s="1811"/>
      <c r="BA220" s="3"/>
      <c r="BC220" t="s">
        <v>299</v>
      </c>
    </row>
    <row r="221" spans="1:108" ht="13.05" customHeight="1">
      <c r="A221" s="2"/>
      <c r="B221" s="14"/>
      <c r="C221" s="2"/>
      <c r="BA221" s="3"/>
    </row>
    <row r="222" spans="1:108" ht="13.0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0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791" t="str">
        <f>H16</f>
        <v>HVN Development LLC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538</v>
      </c>
      <c r="BG232" s="242">
        <f>IF(AND(AND($M$249="nonprofit",$M$257="nonprofit",$M$265="for profit")),2,0)</f>
        <v>0</v>
      </c>
    </row>
    <row r="233" spans="1:59" ht="13.05" customHeight="1">
      <c r="D233" s="4" t="s">
        <v>85</v>
      </c>
      <c r="E233" s="4"/>
      <c r="F233" s="4"/>
      <c r="G233" s="4"/>
      <c r="H233" s="4"/>
      <c r="I233" s="4"/>
      <c r="J233" s="4"/>
      <c r="K233" s="4"/>
      <c r="M233" s="1418" t="s">
        <v>2619</v>
      </c>
      <c r="N233" s="1418"/>
      <c r="O233" s="1418"/>
      <c r="P233" s="1418"/>
      <c r="Q233" s="1418"/>
      <c r="R233" s="1418"/>
      <c r="S233" s="1418"/>
      <c r="T233" s="1418"/>
      <c r="U233" s="1418"/>
      <c r="V233" s="1418"/>
      <c r="W233" s="1418"/>
      <c r="X233" s="1418"/>
      <c r="Y233" s="1418"/>
      <c r="Z233" s="1418"/>
      <c r="AA233" s="1418"/>
      <c r="AB233" s="1418"/>
      <c r="AC233" s="1418"/>
      <c r="AD233" s="1418"/>
      <c r="AE233" s="1418"/>
      <c r="BB233" s="206" t="s">
        <v>538</v>
      </c>
      <c r="BG233" s="242">
        <f>IF(AND(AND($M$249="nonprofit",$M$257="for profit",$M$265="nonprofit")),2,0)</f>
        <v>0</v>
      </c>
    </row>
    <row r="234" spans="1:59" ht="13.05" customHeight="1">
      <c r="D234" s="4" t="s">
        <v>580</v>
      </c>
      <c r="E234" s="4"/>
      <c r="M234" s="1417" t="s">
        <v>2620</v>
      </c>
      <c r="N234" s="1418"/>
      <c r="O234" s="1418"/>
      <c r="P234" s="1418"/>
      <c r="Q234" s="1418"/>
      <c r="R234" s="1418"/>
      <c r="S234" s="1418"/>
      <c r="T234" s="1418"/>
      <c r="V234" s="33" t="s">
        <v>86</v>
      </c>
      <c r="W234" s="1546" t="s">
        <v>2625</v>
      </c>
      <c r="X234" s="1437"/>
      <c r="Y234" s="4" t="s">
        <v>583</v>
      </c>
      <c r="AC234" s="1418">
        <v>92618</v>
      </c>
      <c r="AD234" s="1418"/>
      <c r="AE234" s="1418"/>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417" t="s">
        <v>2621</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6"/>
      <c r="BG235" s="205"/>
    </row>
    <row r="236" spans="1:59" ht="13.05" customHeight="1">
      <c r="D236" s="4" t="s">
        <v>88</v>
      </c>
      <c r="E236" s="4"/>
      <c r="F236" s="4"/>
      <c r="M236" s="1785" t="s">
        <v>2622</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5" t="s">
        <v>537</v>
      </c>
      <c r="BG236" s="242">
        <f>IF(AND(AND($M$249="nonprofit",$M$257="nonprofit",$M$265="(select one)")),1,0)</f>
        <v>0</v>
      </c>
    </row>
    <row r="237" spans="1:59" ht="13.05" customHeight="1">
      <c r="D237" s="4" t="s">
        <v>90</v>
      </c>
      <c r="E237" s="4"/>
      <c r="F237" s="4"/>
      <c r="M237" s="1784" t="s">
        <v>2623</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49" t="s">
        <v>299</v>
      </c>
      <c r="N238" s="1349"/>
      <c r="O238" s="1349"/>
      <c r="P238" s="1349"/>
      <c r="Q238" s="1349"/>
      <c r="R238" s="1349"/>
      <c r="S238" s="1349"/>
      <c r="T238" s="1349"/>
      <c r="U238" s="205" t="s">
        <v>906</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417" t="s">
        <v>2624</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20" t="s">
        <v>2634</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2626</v>
      </c>
      <c r="AG243" s="1421"/>
      <c r="AH243" s="1421"/>
      <c r="AI243" s="1421"/>
      <c r="AJ243" s="1421"/>
      <c r="AK243" s="1421"/>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418" t="str">
        <f>M233</f>
        <v>7700 Irvine Center Drive, Suite 780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418" t="str">
        <f>M234</f>
        <v>Irvine</v>
      </c>
      <c r="N245" s="1418"/>
      <c r="O245" s="1418"/>
      <c r="P245" s="1418"/>
      <c r="Q245" s="1418"/>
      <c r="R245" s="1418"/>
      <c r="S245" s="1418"/>
      <c r="T245" s="1418"/>
      <c r="V245" s="33" t="s">
        <v>86</v>
      </c>
      <c r="W245" s="1437" t="str">
        <f>W234</f>
        <v>CA</v>
      </c>
      <c r="X245" s="1437"/>
      <c r="Y245" s="4" t="s">
        <v>583</v>
      </c>
      <c r="AC245" s="1418">
        <f>AC234</f>
        <v>92618</v>
      </c>
      <c r="AD245" s="1418"/>
      <c r="AE245" s="1418"/>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418" t="str">
        <f>M235</f>
        <v>Tommy Beadel</v>
      </c>
      <c r="N246" s="1418"/>
      <c r="O246" s="1418"/>
      <c r="P246" s="1418"/>
      <c r="Q246" s="1418"/>
      <c r="R246" s="1418"/>
      <c r="S246" s="1418"/>
      <c r="T246" s="1418"/>
      <c r="U246" s="1418"/>
      <c r="V246" s="1418"/>
      <c r="W246" s="1418"/>
      <c r="X246" s="1418"/>
      <c r="Y246" s="1418"/>
      <c r="Z246" s="1418"/>
      <c r="AA246" s="1418"/>
      <c r="AB246" s="1418"/>
      <c r="AC246" s="1418"/>
      <c r="AD246" s="1418"/>
      <c r="AE246" s="1418"/>
      <c r="AH246" s="1777">
        <v>8.9999999999999993E-3</v>
      </c>
      <c r="AI246" s="1777"/>
      <c r="AJ246" s="1777"/>
      <c r="AK246" s="1777"/>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347" t="str">
        <f>M236</f>
        <v>949-979-0833</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3.05" customHeight="1">
      <c r="A248" s="19"/>
      <c r="B248" s="4"/>
      <c r="C248" s="4"/>
      <c r="D248" s="4" t="s">
        <v>90</v>
      </c>
      <c r="E248" s="4"/>
      <c r="F248" s="4"/>
      <c r="M248" s="1784" t="str">
        <f>M237</f>
        <v>tommy@hvndevelopment.com</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5" t="s">
        <v>906</v>
      </c>
      <c r="V249" s="205"/>
      <c r="W249" s="205"/>
      <c r="X249" s="205"/>
      <c r="Y249" s="205"/>
      <c r="Z249" s="205"/>
      <c r="AA249" s="1775" t="str">
        <f>M232</f>
        <v>HVN Development LLC</v>
      </c>
      <c r="AB249" s="1775"/>
      <c r="AC249" s="1775"/>
      <c r="AD249" s="1775"/>
      <c r="AE249" s="1775"/>
      <c r="AF249" s="1775"/>
      <c r="AG249" s="1775"/>
      <c r="AH249" s="1775"/>
      <c r="AI249" s="1775"/>
      <c r="AJ249" s="1775"/>
      <c r="AK249" s="1775"/>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21"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2627</v>
      </c>
      <c r="AG251" s="1421"/>
      <c r="AH251" s="1421"/>
      <c r="AI251" s="1421"/>
      <c r="AJ251" s="1421"/>
      <c r="AK251" s="1421"/>
      <c r="AU251" s="4"/>
      <c r="AV251" s="4"/>
      <c r="AW251" s="4"/>
      <c r="AX251" s="4"/>
      <c r="AY251" s="4"/>
      <c r="BN251" s="34"/>
    </row>
    <row r="252" spans="1:67" ht="13.05" customHeight="1">
      <c r="A252" s="19"/>
      <c r="B252" s="4"/>
      <c r="C252" s="4"/>
      <c r="D252" s="4" t="s">
        <v>85</v>
      </c>
      <c r="E252" s="4"/>
      <c r="F252" s="4"/>
      <c r="G252" s="4"/>
      <c r="H252" s="4"/>
      <c r="I252" s="4"/>
      <c r="J252" s="4"/>
      <c r="K252" s="4"/>
      <c r="L252" s="4"/>
      <c r="M252" s="1418" t="s">
        <v>2630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05" customHeight="1">
      <c r="A253" s="19"/>
      <c r="B253" s="4"/>
      <c r="C253" s="4"/>
      <c r="D253" s="4" t="s">
        <v>580</v>
      </c>
      <c r="E253" s="4"/>
      <c r="M253" s="1418" t="s">
        <v>2620</v>
      </c>
      <c r="N253" s="1418"/>
      <c r="O253" s="1418"/>
      <c r="P253" s="1418"/>
      <c r="Q253" s="1418"/>
      <c r="R253" s="1418"/>
      <c r="S253" s="1418"/>
      <c r="T253" s="1418"/>
      <c r="V253" s="33" t="s">
        <v>86</v>
      </c>
      <c r="W253" s="1546" t="s">
        <v>2625</v>
      </c>
      <c r="X253" s="1437"/>
      <c r="Y253" s="4" t="s">
        <v>583</v>
      </c>
      <c r="AC253" s="1418">
        <v>92619</v>
      </c>
      <c r="AD253" s="1418"/>
      <c r="AE253" s="1418"/>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418" t="s">
        <v>2631</v>
      </c>
      <c r="N254" s="1418"/>
      <c r="O254" s="1418"/>
      <c r="P254" s="1418"/>
      <c r="Q254" s="1418"/>
      <c r="R254" s="1418"/>
      <c r="S254" s="1418"/>
      <c r="T254" s="1418"/>
      <c r="U254" s="1418"/>
      <c r="V254" s="1418"/>
      <c r="W254" s="1418"/>
      <c r="X254" s="1418"/>
      <c r="Y254" s="1418"/>
      <c r="Z254" s="1418"/>
      <c r="AA254" s="1418"/>
      <c r="AB254" s="1418"/>
      <c r="AC254" s="1418"/>
      <c r="AD254" s="1418"/>
      <c r="AE254" s="1418"/>
      <c r="AH254" s="1777">
        <v>1E-3</v>
      </c>
      <c r="AI254" s="1777"/>
      <c r="AJ254" s="1777"/>
      <c r="AK254" s="1777"/>
      <c r="AL254" s="4"/>
      <c r="AM254" s="4"/>
      <c r="AN254" s="4"/>
      <c r="AO254" s="4"/>
      <c r="AP254" s="4"/>
      <c r="AQ254" s="4"/>
      <c r="AR254" s="4"/>
      <c r="AS254" s="4"/>
      <c r="AT254" s="4"/>
    </row>
    <row r="255" spans="1:67" ht="13.05" customHeight="1">
      <c r="A255" s="19"/>
      <c r="B255" s="4"/>
      <c r="C255" s="4"/>
      <c r="D255" s="4" t="s">
        <v>88</v>
      </c>
      <c r="E255" s="4"/>
      <c r="F255" s="4"/>
      <c r="M255" s="1785" t="s">
        <v>2633</v>
      </c>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3.05" customHeight="1">
      <c r="A256" s="19"/>
      <c r="B256" s="4"/>
      <c r="C256" s="4"/>
      <c r="D256" s="4" t="s">
        <v>90</v>
      </c>
      <c r="E256" s="4"/>
      <c r="F256" s="4"/>
      <c r="M256" s="1784" t="s">
        <v>2632</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5" t="s">
        <v>906</v>
      </c>
      <c r="V257" s="205"/>
      <c r="W257" s="205"/>
      <c r="X257" s="205"/>
      <c r="Y257" s="205"/>
      <c r="Z257" s="205"/>
      <c r="AA257" s="1775" t="s">
        <v>2628</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7"/>
      <c r="AI262" s="1777"/>
      <c r="AJ262" s="1777"/>
      <c r="AK262" s="1777"/>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5" t="s">
        <v>906</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418" t="s">
        <v>172</v>
      </c>
      <c r="E270" s="1418"/>
      <c r="F270" s="1418"/>
      <c r="G270" s="1418"/>
      <c r="H270" s="1418"/>
      <c r="J270" t="s">
        <v>278</v>
      </c>
      <c r="X270" s="1691">
        <v>45748</v>
      </c>
      <c r="Y270" s="1691"/>
      <c r="Z270" s="1691"/>
      <c r="AA270" s="1691"/>
      <c r="AB270" s="1691"/>
      <c r="AC270" s="1691"/>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421" t="str">
        <f t="shared" ref="L274:L279" si="0">M232</f>
        <v>HVN Development LLC</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8" t="str">
        <f t="shared" si="0"/>
        <v>7700 Irvine Center Drive, Suite 780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05" customHeight="1">
      <c r="D276" s="4" t="s">
        <v>580</v>
      </c>
      <c r="E276" s="4"/>
      <c r="L276" s="1418" t="str">
        <f t="shared" si="0"/>
        <v>Irvine</v>
      </c>
      <c r="M276" s="1418"/>
      <c r="N276" s="1418"/>
      <c r="O276" s="1418"/>
      <c r="P276" s="1418"/>
      <c r="Q276" s="1418"/>
      <c r="R276" s="1418"/>
      <c r="S276" s="1418"/>
      <c r="U276" s="33" t="s">
        <v>86</v>
      </c>
      <c r="V276" s="1437" t="str">
        <f>W234</f>
        <v>CA</v>
      </c>
      <c r="W276" s="1437"/>
      <c r="X276" s="4" t="s">
        <v>583</v>
      </c>
      <c r="AB276" s="1418">
        <f>AC234</f>
        <v>92618</v>
      </c>
      <c r="AC276" s="1418"/>
      <c r="AD276" s="1418"/>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8" t="str">
        <f t="shared" si="0"/>
        <v>Tommy Beadel</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05" customHeight="1">
      <c r="D278" s="4" t="s">
        <v>88</v>
      </c>
      <c r="E278" s="4"/>
      <c r="F278" s="4"/>
      <c r="L278" s="1347" t="str">
        <f t="shared" si="0"/>
        <v>949-979-0833</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3.05" customHeight="1">
      <c r="D279" s="4" t="s">
        <v>90</v>
      </c>
      <c r="E279" s="4"/>
      <c r="F279" s="4"/>
      <c r="L279" s="1784" t="str">
        <f t="shared" si="0"/>
        <v>tommy@hvndevelopment.com</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05" customHeight="1">
      <c r="D280" s="3" t="s">
        <v>623</v>
      </c>
      <c r="E280" s="3"/>
      <c r="F280" s="3"/>
      <c r="G280" s="3"/>
      <c r="H280" s="3"/>
      <c r="I280" s="3"/>
      <c r="L280" s="1546" t="s">
        <v>2635</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0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72" t="str">
        <f>L274</f>
        <v>HVN Development LLC</v>
      </c>
      <c r="I287" s="1372"/>
      <c r="J287" s="1372"/>
      <c r="K287" s="1372"/>
      <c r="L287" s="1372"/>
      <c r="M287" s="1372"/>
      <c r="N287" s="1372"/>
      <c r="O287" s="1372"/>
      <c r="P287" s="1372"/>
      <c r="Q287" s="1372"/>
      <c r="R287" s="1372"/>
      <c r="T287" s="3" t="s">
        <v>567</v>
      </c>
      <c r="V287" s="3"/>
      <c r="W287" s="3"/>
      <c r="X287" s="3"/>
      <c r="Y287" s="3"/>
      <c r="AA287" s="1372" t="s">
        <v>2637</v>
      </c>
      <c r="AB287" s="1372"/>
      <c r="AC287" s="1372"/>
      <c r="AD287" s="1372"/>
      <c r="AE287" s="1372"/>
      <c r="AF287" s="1372"/>
      <c r="AG287" s="1372"/>
      <c r="AH287" s="1372"/>
      <c r="AI287" s="1372"/>
      <c r="AJ287" s="1372"/>
      <c r="AK287" s="1372"/>
    </row>
    <row r="288" spans="1:51" ht="13.05" customHeight="1">
      <c r="B288" s="3" t="s">
        <v>471</v>
      </c>
      <c r="C288" s="3"/>
      <c r="D288" s="3"/>
      <c r="E288" s="3"/>
      <c r="F288" s="3"/>
      <c r="H288" s="1349" t="str">
        <f>L275</f>
        <v>7700 Irvine Center Drive, Suite 780</v>
      </c>
      <c r="I288" s="1349"/>
      <c r="J288" s="1349"/>
      <c r="K288" s="1349"/>
      <c r="L288" s="1349"/>
      <c r="M288" s="1349"/>
      <c r="N288" s="1349"/>
      <c r="O288" s="1349"/>
      <c r="P288" s="1349"/>
      <c r="Q288" s="1349"/>
      <c r="R288" s="1349"/>
      <c r="T288" s="3" t="s">
        <v>471</v>
      </c>
      <c r="V288" s="3"/>
      <c r="W288" s="3"/>
      <c r="X288" s="3"/>
      <c r="Y288" s="3"/>
      <c r="AA288" s="1349" t="s">
        <v>2638</v>
      </c>
      <c r="AB288" s="1349"/>
      <c r="AC288" s="1349"/>
      <c r="AD288" s="1349"/>
      <c r="AE288" s="1349"/>
      <c r="AF288" s="1349"/>
      <c r="AG288" s="1349"/>
      <c r="AH288" s="1349"/>
      <c r="AI288" s="1349"/>
      <c r="AJ288" s="1349"/>
      <c r="AK288" s="1349"/>
    </row>
    <row r="289" spans="2:37" ht="13.05" customHeight="1">
      <c r="B289" s="3" t="s">
        <v>472</v>
      </c>
      <c r="C289" s="3"/>
      <c r="D289" s="3"/>
      <c r="E289" s="3"/>
      <c r="F289" s="3"/>
      <c r="H289" s="1349" t="s">
        <v>2636</v>
      </c>
      <c r="I289" s="1349"/>
      <c r="J289" s="1349"/>
      <c r="K289" s="1349"/>
      <c r="L289" s="1349"/>
      <c r="M289" s="1349"/>
      <c r="N289" s="1349"/>
      <c r="O289" s="1349"/>
      <c r="P289" s="1349"/>
      <c r="Q289" s="1349"/>
      <c r="R289" s="1349"/>
      <c r="T289" s="3" t="s">
        <v>75</v>
      </c>
      <c r="V289" s="3"/>
      <c r="W289" s="3"/>
      <c r="X289" s="3"/>
      <c r="Y289" s="3"/>
      <c r="AA289" s="1349" t="s">
        <v>2639</v>
      </c>
      <c r="AB289" s="1349"/>
      <c r="AC289" s="1349"/>
      <c r="AD289" s="1349"/>
      <c r="AE289" s="1349"/>
      <c r="AF289" s="1349"/>
      <c r="AG289" s="1349"/>
      <c r="AH289" s="1349"/>
      <c r="AI289" s="1349"/>
      <c r="AJ289" s="1349"/>
      <c r="AK289" s="1349"/>
    </row>
    <row r="290" spans="2:37" ht="13.05" customHeight="1">
      <c r="B290" s="3" t="s">
        <v>87</v>
      </c>
      <c r="C290" s="3"/>
      <c r="D290" s="3"/>
      <c r="E290" s="3"/>
      <c r="F290" s="3"/>
      <c r="H290" s="1349" t="str">
        <f>L277</f>
        <v>Tommy Beadel</v>
      </c>
      <c r="I290" s="1349"/>
      <c r="J290" s="1349"/>
      <c r="K290" s="1349"/>
      <c r="L290" s="1349"/>
      <c r="M290" s="1349"/>
      <c r="N290" s="1349"/>
      <c r="O290" s="1349"/>
      <c r="P290" s="1349"/>
      <c r="Q290" s="1349"/>
      <c r="R290" s="1349"/>
      <c r="T290" s="3" t="s">
        <v>87</v>
      </c>
      <c r="V290" s="3"/>
      <c r="W290" s="3"/>
      <c r="X290" s="3"/>
      <c r="Y290" s="3"/>
      <c r="AA290" s="1349" t="s">
        <v>2640</v>
      </c>
      <c r="AB290" s="1349"/>
      <c r="AC290" s="1349"/>
      <c r="AD290" s="1349"/>
      <c r="AE290" s="1349"/>
      <c r="AF290" s="1349"/>
      <c r="AG290" s="1349"/>
      <c r="AH290" s="1349"/>
      <c r="AI290" s="1349"/>
      <c r="AJ290" s="1349"/>
      <c r="AK290" s="1349"/>
    </row>
    <row r="291" spans="2:37" ht="13.05" customHeight="1">
      <c r="B291" s="3" t="s">
        <v>88</v>
      </c>
      <c r="C291" s="3"/>
      <c r="D291" s="3"/>
      <c r="E291" s="3"/>
      <c r="F291" s="3"/>
      <c r="G291" s="3"/>
      <c r="H291" s="1424" t="str">
        <f>L278</f>
        <v>949-979-0833</v>
      </c>
      <c r="I291" s="1424"/>
      <c r="J291" s="1424"/>
      <c r="K291" s="1424"/>
      <c r="L291" s="1424"/>
      <c r="M291" s="1424"/>
      <c r="N291" s="4" t="s">
        <v>205</v>
      </c>
      <c r="O291" s="4"/>
      <c r="P291" s="1418"/>
      <c r="Q291" s="1418"/>
      <c r="R291" s="1418"/>
      <c r="S291" s="3"/>
      <c r="T291" s="3" t="s">
        <v>88</v>
      </c>
      <c r="V291" s="3"/>
      <c r="W291" s="3"/>
      <c r="X291" s="3"/>
      <c r="Y291" s="3"/>
      <c r="AA291" s="1424" t="s">
        <v>2641</v>
      </c>
      <c r="AB291" s="1424"/>
      <c r="AC291" s="1424"/>
      <c r="AD291" s="1424"/>
      <c r="AE291" s="1424"/>
      <c r="AF291" s="1424"/>
      <c r="AG291" s="4" t="s">
        <v>205</v>
      </c>
      <c r="AH291" s="4"/>
      <c r="AI291" s="1418"/>
      <c r="AJ291" s="1418"/>
      <c r="AK291" s="1418"/>
    </row>
    <row r="292" spans="2:37" ht="13.0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05" customHeight="1">
      <c r="B293" s="3" t="s">
        <v>76</v>
      </c>
      <c r="C293" s="3"/>
      <c r="D293" s="3"/>
      <c r="E293" s="3"/>
      <c r="F293" s="3"/>
      <c r="G293" s="3"/>
      <c r="H293" s="1349" t="str">
        <f>L279</f>
        <v>tommy@hvndevelopment.com</v>
      </c>
      <c r="I293" s="1349"/>
      <c r="J293" s="1349"/>
      <c r="K293" s="1349"/>
      <c r="L293" s="1349"/>
      <c r="M293" s="1349"/>
      <c r="N293" s="1372"/>
      <c r="O293" s="1372"/>
      <c r="P293" s="1372"/>
      <c r="Q293" s="1372"/>
      <c r="R293" s="1372"/>
      <c r="S293" s="3"/>
      <c r="T293" s="3" t="s">
        <v>76</v>
      </c>
      <c r="V293" s="3"/>
      <c r="W293" s="3"/>
      <c r="X293" s="3"/>
      <c r="Y293" s="3"/>
      <c r="AA293" s="1349" t="s">
        <v>2642</v>
      </c>
      <c r="AB293" s="1349"/>
      <c r="AC293" s="1349"/>
      <c r="AD293" s="1349"/>
      <c r="AE293" s="1349"/>
      <c r="AF293" s="1349"/>
      <c r="AG293" s="1372"/>
      <c r="AH293" s="1372"/>
      <c r="AI293" s="1372"/>
      <c r="AJ293" s="1372"/>
      <c r="AK293" s="137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372" t="s">
        <v>2674</v>
      </c>
      <c r="I295" s="1372"/>
      <c r="J295" s="1372"/>
      <c r="K295" s="1372"/>
      <c r="L295" s="1372"/>
      <c r="M295" s="1372"/>
      <c r="N295" s="1372"/>
      <c r="O295" s="1372"/>
      <c r="P295" s="1372"/>
      <c r="Q295" s="1372"/>
      <c r="R295" s="1372"/>
      <c r="T295" s="3" t="s">
        <v>363</v>
      </c>
      <c r="V295" s="3"/>
      <c r="W295" s="3"/>
      <c r="X295" s="3"/>
      <c r="Y295" s="3"/>
      <c r="AA295" s="1372" t="s">
        <v>2643</v>
      </c>
      <c r="AB295" s="1372"/>
      <c r="AC295" s="1372"/>
      <c r="AD295" s="1372"/>
      <c r="AE295" s="1372"/>
      <c r="AF295" s="1372"/>
      <c r="AG295" s="1372"/>
      <c r="AH295" s="1372"/>
      <c r="AI295" s="1372"/>
      <c r="AJ295" s="1372"/>
      <c r="AK295" s="1372"/>
    </row>
    <row r="296" spans="2:37" ht="13.05" customHeight="1">
      <c r="B296" s="3" t="s">
        <v>471</v>
      </c>
      <c r="C296" s="3"/>
      <c r="D296" s="3"/>
      <c r="E296" s="3"/>
      <c r="F296" s="3"/>
      <c r="H296" s="1349" t="s">
        <v>2675</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3.05" customHeight="1">
      <c r="B297" s="3" t="s">
        <v>472</v>
      </c>
      <c r="C297" s="3"/>
      <c r="D297" s="3"/>
      <c r="E297" s="3"/>
      <c r="F297" s="3"/>
      <c r="H297" s="1349" t="s">
        <v>2676</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3.05" customHeight="1">
      <c r="B298" s="3" t="s">
        <v>87</v>
      </c>
      <c r="C298" s="3"/>
      <c r="D298" s="3"/>
      <c r="E298" s="3"/>
      <c r="F298" s="3"/>
      <c r="H298" s="1349" t="s">
        <v>2677</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3.05" customHeight="1">
      <c r="B299" s="3" t="s">
        <v>88</v>
      </c>
      <c r="C299" s="3"/>
      <c r="D299" s="3"/>
      <c r="E299" s="3"/>
      <c r="F299" s="3"/>
      <c r="G299" s="3"/>
      <c r="H299" s="1424" t="s">
        <v>2678</v>
      </c>
      <c r="I299" s="1424"/>
      <c r="J299" s="1424"/>
      <c r="K299" s="1424"/>
      <c r="L299" s="1424"/>
      <c r="M299" s="1424"/>
      <c r="N299" s="4" t="s">
        <v>205</v>
      </c>
      <c r="O299" s="4"/>
      <c r="P299" s="1418"/>
      <c r="Q299" s="1418"/>
      <c r="R299" s="1418"/>
      <c r="S299" s="3"/>
      <c r="T299" s="3" t="s">
        <v>88</v>
      </c>
      <c r="V299" s="3"/>
      <c r="W299" s="3"/>
      <c r="X299" s="3"/>
      <c r="Y299" s="3"/>
      <c r="AA299" s="1424"/>
      <c r="AB299" s="1424"/>
      <c r="AC299" s="1424"/>
      <c r="AD299" s="1424"/>
      <c r="AE299" s="1424"/>
      <c r="AF299" s="1424"/>
      <c r="AG299" s="4" t="s">
        <v>205</v>
      </c>
      <c r="AH299" s="4"/>
      <c r="AI299" s="1418"/>
      <c r="AJ299" s="1418"/>
      <c r="AK299" s="1418"/>
    </row>
    <row r="300" spans="2:37" ht="13.0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05" customHeight="1">
      <c r="B301" s="3" t="s">
        <v>76</v>
      </c>
      <c r="C301" s="3"/>
      <c r="D301" s="3"/>
      <c r="E301" s="3"/>
      <c r="F301" s="3"/>
      <c r="G301" s="3"/>
      <c r="H301" s="1349" t="s">
        <v>2679</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05" customHeight="1"/>
    <row r="303" spans="2:37" ht="13.05" customHeight="1">
      <c r="B303" s="3" t="s">
        <v>77</v>
      </c>
      <c r="C303" s="3"/>
      <c r="D303" s="3"/>
      <c r="E303" s="3"/>
      <c r="F303" s="3"/>
      <c r="H303" s="1372" t="s">
        <v>2645</v>
      </c>
      <c r="I303" s="1372"/>
      <c r="J303" s="1372"/>
      <c r="K303" s="1372"/>
      <c r="L303" s="1372"/>
      <c r="M303" s="1372"/>
      <c r="N303" s="1372"/>
      <c r="O303" s="1372"/>
      <c r="P303" s="1372"/>
      <c r="Q303" s="1372"/>
      <c r="R303" s="1372"/>
      <c r="T303" s="4" t="s">
        <v>878</v>
      </c>
      <c r="V303" s="3"/>
      <c r="W303" s="3"/>
      <c r="X303" s="3"/>
      <c r="Y303" s="3"/>
      <c r="AA303" s="1372" t="s">
        <v>2644</v>
      </c>
      <c r="AB303" s="1372"/>
      <c r="AC303" s="1372"/>
      <c r="AD303" s="1372"/>
      <c r="AE303" s="1372"/>
      <c r="AF303" s="1372"/>
      <c r="AG303" s="1372"/>
      <c r="AH303" s="1372"/>
      <c r="AI303" s="1372"/>
      <c r="AJ303" s="1372"/>
      <c r="AK303" s="1372"/>
    </row>
    <row r="304" spans="2:37" ht="13.05" customHeight="1">
      <c r="B304" s="3" t="s">
        <v>471</v>
      </c>
      <c r="C304" s="3"/>
      <c r="D304" s="3"/>
      <c r="E304" s="3"/>
      <c r="F304" s="3"/>
      <c r="H304" s="1349" t="s">
        <v>2669</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3.05" customHeight="1">
      <c r="B305" s="3" t="s">
        <v>472</v>
      </c>
      <c r="C305" s="3"/>
      <c r="D305" s="3"/>
      <c r="E305" s="3"/>
      <c r="F305" s="3"/>
      <c r="H305" s="1349" t="s">
        <v>2670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05" customHeight="1">
      <c r="B306" s="3" t="s">
        <v>87</v>
      </c>
      <c r="C306" s="3"/>
      <c r="D306" s="3"/>
      <c r="E306" s="3"/>
      <c r="F306" s="3"/>
      <c r="H306" s="1349" t="s">
        <v>2671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05" customHeight="1">
      <c r="B307" s="3" t="s">
        <v>88</v>
      </c>
      <c r="C307" s="3"/>
      <c r="D307" s="3"/>
      <c r="E307" s="3"/>
      <c r="F307" s="3"/>
      <c r="G307" s="3"/>
      <c r="H307" s="1424" t="s">
        <v>2672</v>
      </c>
      <c r="I307" s="1424"/>
      <c r="J307" s="1424"/>
      <c r="K307" s="1424"/>
      <c r="L307" s="1424"/>
      <c r="M307" s="1424"/>
      <c r="N307" s="4" t="s">
        <v>205</v>
      </c>
      <c r="O307" s="4"/>
      <c r="P307" s="1418"/>
      <c r="Q307" s="1418"/>
      <c r="R307" s="1418"/>
      <c r="S307" s="3"/>
      <c r="T307" s="3" t="s">
        <v>88</v>
      </c>
      <c r="V307" s="3"/>
      <c r="W307" s="3"/>
      <c r="X307" s="3"/>
      <c r="Y307" s="3"/>
      <c r="AA307" s="1424"/>
      <c r="AB307" s="1424"/>
      <c r="AC307" s="1424"/>
      <c r="AD307" s="1424"/>
      <c r="AE307" s="1424"/>
      <c r="AF307" s="1424"/>
      <c r="AG307" s="4" t="s">
        <v>205</v>
      </c>
      <c r="AH307" s="4"/>
      <c r="AI307" s="1418"/>
      <c r="AJ307" s="1418"/>
      <c r="AK307" s="1418"/>
    </row>
    <row r="308" spans="2:37" ht="13.0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05" customHeight="1">
      <c r="B309" s="3" t="s">
        <v>76</v>
      </c>
      <c r="C309" s="3"/>
      <c r="D309" s="3"/>
      <c r="E309" s="3"/>
      <c r="F309" s="3"/>
      <c r="G309" s="3"/>
      <c r="H309" s="1349" t="s">
        <v>2673</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72" t="str">
        <f>H303</f>
        <v>Novogradac &amp; Company LLP</v>
      </c>
      <c r="I311" s="1372"/>
      <c r="J311" s="1372"/>
      <c r="K311" s="1372"/>
      <c r="L311" s="1372"/>
      <c r="M311" s="1372"/>
      <c r="N311" s="1372"/>
      <c r="O311" s="1372"/>
      <c r="P311" s="1372"/>
      <c r="Q311" s="1372"/>
      <c r="R311" s="1372"/>
      <c r="S311" s="3"/>
      <c r="T311" s="3" t="s">
        <v>364</v>
      </c>
      <c r="V311" s="3"/>
      <c r="W311" s="3"/>
      <c r="X311" s="3"/>
      <c r="Y311" s="3"/>
      <c r="AA311" s="1372" t="s">
        <v>2643</v>
      </c>
      <c r="AB311" s="1372"/>
      <c r="AC311" s="1372"/>
      <c r="AD311" s="1372"/>
      <c r="AE311" s="1372"/>
      <c r="AF311" s="1372"/>
      <c r="AG311" s="1372"/>
      <c r="AH311" s="1372"/>
      <c r="AI311" s="1372"/>
      <c r="AJ311" s="1372"/>
      <c r="AK311" s="1372"/>
    </row>
    <row r="312" spans="2:37" ht="13.05" customHeight="1">
      <c r="B312" s="3" t="s">
        <v>471</v>
      </c>
      <c r="C312" s="3"/>
      <c r="D312" s="3"/>
      <c r="E312" s="3"/>
      <c r="F312" s="3"/>
      <c r="H312" s="1349" t="str">
        <f>H304</f>
        <v>211 E. Ocean Blvd., 6th Floor</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3.05" customHeight="1">
      <c r="B313" s="3" t="s">
        <v>472</v>
      </c>
      <c r="C313" s="3"/>
      <c r="D313" s="3"/>
      <c r="E313" s="3"/>
      <c r="F313" s="3"/>
      <c r="H313" s="1349" t="str">
        <f>H305</f>
        <v>Long Beach, CA 90802</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05" customHeight="1">
      <c r="B314" s="3" t="s">
        <v>87</v>
      </c>
      <c r="C314" s="3"/>
      <c r="D314" s="3"/>
      <c r="E314" s="3"/>
      <c r="F314" s="3"/>
      <c r="H314" s="1349" t="str">
        <f>H306</f>
        <v>Justin Chubb Lurya</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05" customHeight="1">
      <c r="B315" s="3" t="s">
        <v>88</v>
      </c>
      <c r="C315" s="3"/>
      <c r="D315" s="3"/>
      <c r="E315" s="3"/>
      <c r="F315" s="3"/>
      <c r="G315" s="3"/>
      <c r="H315" s="1424" t="str">
        <f>H307</f>
        <v>562-256-2337</v>
      </c>
      <c r="I315" s="1424"/>
      <c r="J315" s="1424"/>
      <c r="K315" s="1424"/>
      <c r="L315" s="1424"/>
      <c r="M315" s="1424"/>
      <c r="N315" s="4" t="s">
        <v>205</v>
      </c>
      <c r="O315" s="4"/>
      <c r="P315" s="1418"/>
      <c r="Q315" s="1418"/>
      <c r="R315" s="1418"/>
      <c r="S315" s="3"/>
      <c r="T315" s="3" t="s">
        <v>88</v>
      </c>
      <c r="V315" s="3"/>
      <c r="W315" s="3"/>
      <c r="X315" s="3"/>
      <c r="Y315" s="3"/>
      <c r="AA315" s="1424"/>
      <c r="AB315" s="1424"/>
      <c r="AC315" s="1424"/>
      <c r="AD315" s="1424"/>
      <c r="AE315" s="1424"/>
      <c r="AF315" s="1424"/>
      <c r="AG315" s="4" t="s">
        <v>205</v>
      </c>
      <c r="AH315" s="4"/>
      <c r="AI315" s="1418"/>
      <c r="AJ315" s="1418"/>
      <c r="AK315" s="1418"/>
    </row>
    <row r="316" spans="2:37" ht="13.0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05" customHeight="1">
      <c r="B317" s="3" t="s">
        <v>76</v>
      </c>
      <c r="C317" s="3"/>
      <c r="D317" s="3"/>
      <c r="E317" s="3"/>
      <c r="F317" s="3"/>
      <c r="G317" s="3"/>
      <c r="H317" s="1349" t="str">
        <f>H309</f>
        <v>justin.chubblurya@novoco.com</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05" customHeight="1"/>
    <row r="319" spans="2:37" ht="13.05" customHeight="1">
      <c r="B319" s="4" t="s">
        <v>908</v>
      </c>
      <c r="C319" s="3"/>
      <c r="D319" s="3"/>
      <c r="E319" s="3"/>
      <c r="F319" s="3"/>
      <c r="H319" s="1372" t="s">
        <v>2663</v>
      </c>
      <c r="I319" s="1372"/>
      <c r="J319" s="1372"/>
      <c r="K319" s="1372"/>
      <c r="L319" s="1372"/>
      <c r="M319" s="1372"/>
      <c r="N319" s="1372"/>
      <c r="O319" s="1372"/>
      <c r="P319" s="1372"/>
      <c r="Q319" s="1372"/>
      <c r="R319" s="1372"/>
      <c r="T319" s="3" t="s">
        <v>365</v>
      </c>
      <c r="V319" s="3"/>
      <c r="W319" s="3"/>
      <c r="X319" s="3"/>
      <c r="Y319" s="3"/>
      <c r="AA319" s="1372" t="s">
        <v>2645</v>
      </c>
      <c r="AB319" s="1372"/>
      <c r="AC319" s="1372"/>
      <c r="AD319" s="1372"/>
      <c r="AE319" s="1372"/>
      <c r="AF319" s="1372"/>
      <c r="AG319" s="1372"/>
      <c r="AH319" s="1372"/>
      <c r="AI319" s="1372"/>
      <c r="AJ319" s="1372"/>
      <c r="AK319" s="1372"/>
    </row>
    <row r="320" spans="2:37" ht="13.05" customHeight="1">
      <c r="B320" s="3" t="s">
        <v>471</v>
      </c>
      <c r="C320" s="3"/>
      <c r="D320" s="3"/>
      <c r="E320" s="3"/>
      <c r="F320" s="3"/>
      <c r="H320" s="1349" t="s">
        <v>2664</v>
      </c>
      <c r="I320" s="1349"/>
      <c r="J320" s="1349"/>
      <c r="K320" s="1349"/>
      <c r="L320" s="1349"/>
      <c r="M320" s="1349"/>
      <c r="N320" s="1349"/>
      <c r="O320" s="1349"/>
      <c r="P320" s="1349"/>
      <c r="Q320" s="1349"/>
      <c r="R320" s="1349"/>
      <c r="T320" s="3" t="s">
        <v>471</v>
      </c>
      <c r="V320" s="3"/>
      <c r="W320" s="3"/>
      <c r="X320" s="3"/>
      <c r="Y320" s="3"/>
      <c r="AA320" s="1349" t="s">
        <v>2646</v>
      </c>
      <c r="AB320" s="1349"/>
      <c r="AC320" s="1349"/>
      <c r="AD320" s="1349"/>
      <c r="AE320" s="1349"/>
      <c r="AF320" s="1349"/>
      <c r="AG320" s="1349"/>
      <c r="AH320" s="1349"/>
      <c r="AI320" s="1349"/>
      <c r="AJ320" s="1349"/>
      <c r="AK320" s="1349"/>
    </row>
    <row r="321" spans="2:37" ht="13.05" customHeight="1">
      <c r="B321" s="3" t="s">
        <v>472</v>
      </c>
      <c r="C321" s="3"/>
      <c r="D321" s="3"/>
      <c r="E321" s="3"/>
      <c r="F321" s="3"/>
      <c r="H321" s="1349" t="s">
        <v>2665</v>
      </c>
      <c r="I321" s="1349"/>
      <c r="J321" s="1349"/>
      <c r="K321" s="1349"/>
      <c r="L321" s="1349"/>
      <c r="M321" s="1349"/>
      <c r="N321" s="1349"/>
      <c r="O321" s="1349"/>
      <c r="P321" s="1349"/>
      <c r="Q321" s="1349"/>
      <c r="R321" s="1349"/>
      <c r="T321" s="3" t="s">
        <v>75</v>
      </c>
      <c r="V321" s="3"/>
      <c r="W321" s="3"/>
      <c r="X321" s="3"/>
      <c r="Y321" s="3"/>
      <c r="AA321" s="1349" t="s">
        <v>2647</v>
      </c>
      <c r="AB321" s="1349"/>
      <c r="AC321" s="1349"/>
      <c r="AD321" s="1349"/>
      <c r="AE321" s="1349"/>
      <c r="AF321" s="1349"/>
      <c r="AG321" s="1349"/>
      <c r="AH321" s="1349"/>
      <c r="AI321" s="1349"/>
      <c r="AJ321" s="1349"/>
      <c r="AK321" s="1349"/>
    </row>
    <row r="322" spans="2:37" ht="13.05" customHeight="1">
      <c r="B322" s="3" t="s">
        <v>87</v>
      </c>
      <c r="C322" s="3"/>
      <c r="D322" s="3"/>
      <c r="E322" s="3"/>
      <c r="F322" s="3"/>
      <c r="H322" s="1349" t="s">
        <v>2666</v>
      </c>
      <c r="I322" s="1349"/>
      <c r="J322" s="1349"/>
      <c r="K322" s="1349"/>
      <c r="L322" s="1349"/>
      <c r="M322" s="1349"/>
      <c r="N322" s="1349"/>
      <c r="O322" s="1349"/>
      <c r="P322" s="1349"/>
      <c r="Q322" s="1349"/>
      <c r="R322" s="1349"/>
      <c r="T322" s="3" t="s">
        <v>87</v>
      </c>
      <c r="V322" s="3"/>
      <c r="W322" s="3"/>
      <c r="X322" s="3"/>
      <c r="Y322" s="3"/>
      <c r="AA322" s="1349" t="s">
        <v>2648</v>
      </c>
      <c r="AB322" s="1349"/>
      <c r="AC322" s="1349"/>
      <c r="AD322" s="1349"/>
      <c r="AE322" s="1349"/>
      <c r="AF322" s="1349"/>
      <c r="AG322" s="1349"/>
      <c r="AH322" s="1349"/>
      <c r="AI322" s="1349"/>
      <c r="AJ322" s="1349"/>
      <c r="AK322" s="1349"/>
    </row>
    <row r="323" spans="2:37" ht="13.05" customHeight="1">
      <c r="B323" s="3" t="s">
        <v>88</v>
      </c>
      <c r="C323" s="3"/>
      <c r="D323" s="3"/>
      <c r="E323" s="3"/>
      <c r="F323" s="3"/>
      <c r="G323" s="3"/>
      <c r="H323" s="1424" t="s">
        <v>2667</v>
      </c>
      <c r="I323" s="1424"/>
      <c r="J323" s="1424"/>
      <c r="K323" s="1424"/>
      <c r="L323" s="1424"/>
      <c r="M323" s="1424"/>
      <c r="N323" s="4" t="s">
        <v>205</v>
      </c>
      <c r="O323" s="4"/>
      <c r="P323" s="1418"/>
      <c r="Q323" s="1418"/>
      <c r="R323" s="1418"/>
      <c r="S323" s="3"/>
      <c r="T323" s="3" t="s">
        <v>88</v>
      </c>
      <c r="V323" s="3"/>
      <c r="W323" s="3"/>
      <c r="X323" s="3"/>
      <c r="Y323" s="3"/>
      <c r="AA323" s="1424" t="s">
        <v>2649</v>
      </c>
      <c r="AB323" s="1424"/>
      <c r="AC323" s="1424"/>
      <c r="AD323" s="1424"/>
      <c r="AE323" s="1424"/>
      <c r="AF323" s="1424"/>
      <c r="AG323" s="4" t="s">
        <v>205</v>
      </c>
      <c r="AH323" s="4"/>
      <c r="AI323" s="1418"/>
      <c r="AJ323" s="1418"/>
      <c r="AK323" s="1418"/>
    </row>
    <row r="324" spans="2:37" ht="13.0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05" customHeight="1">
      <c r="B325" s="3" t="s">
        <v>76</v>
      </c>
      <c r="C325" s="3"/>
      <c r="D325" s="3"/>
      <c r="E325" s="3"/>
      <c r="F325" s="3"/>
      <c r="G325" s="3"/>
      <c r="H325" s="1349" t="s">
        <v>2668</v>
      </c>
      <c r="I325" s="1349"/>
      <c r="J325" s="1349"/>
      <c r="K325" s="1349"/>
      <c r="L325" s="1349"/>
      <c r="M325" s="1349"/>
      <c r="N325" s="1372"/>
      <c r="O325" s="1372"/>
      <c r="P325" s="1372"/>
      <c r="Q325" s="1372"/>
      <c r="R325" s="1372"/>
      <c r="S325" s="3"/>
      <c r="T325" s="3" t="s">
        <v>76</v>
      </c>
      <c r="V325" s="3"/>
      <c r="W325" s="3"/>
      <c r="X325" s="3"/>
      <c r="Y325" s="3"/>
      <c r="AA325" s="1349" t="s">
        <v>2650</v>
      </c>
      <c r="AB325" s="1349"/>
      <c r="AC325" s="1349"/>
      <c r="AD325" s="1349"/>
      <c r="AE325" s="1349"/>
      <c r="AF325" s="1349"/>
      <c r="AG325" s="1372"/>
      <c r="AH325" s="1372"/>
      <c r="AI325" s="1372"/>
      <c r="AJ325" s="1372"/>
      <c r="AK325" s="137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372" t="s">
        <v>2644</v>
      </c>
      <c r="I327" s="1372"/>
      <c r="J327" s="1372"/>
      <c r="K327" s="1372"/>
      <c r="L327" s="1372"/>
      <c r="M327" s="1372"/>
      <c r="N327" s="1372"/>
      <c r="O327" s="1372"/>
      <c r="P327" s="1372"/>
      <c r="Q327" s="1372"/>
      <c r="R327" s="1372"/>
      <c r="T327" s="3" t="s">
        <v>367</v>
      </c>
      <c r="V327" s="3"/>
      <c r="W327" s="3"/>
      <c r="X327" s="3"/>
      <c r="Y327" s="3"/>
      <c r="AA327" s="1372" t="s">
        <v>2644</v>
      </c>
      <c r="AB327" s="1372"/>
      <c r="AC327" s="1372"/>
      <c r="AD327" s="1372"/>
      <c r="AE327" s="1372"/>
      <c r="AF327" s="1372"/>
      <c r="AG327" s="1372"/>
      <c r="AH327" s="1372"/>
      <c r="AI327" s="1372"/>
      <c r="AJ327" s="1372"/>
      <c r="AK327" s="1372"/>
    </row>
    <row r="328" spans="2:37" ht="13.0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0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0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0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3.0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0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372" t="s">
        <v>2656</v>
      </c>
      <c r="I335" s="1372"/>
      <c r="J335" s="1372"/>
      <c r="K335" s="1372"/>
      <c r="L335" s="1372"/>
      <c r="M335" s="1372"/>
      <c r="N335" s="1372"/>
      <c r="O335" s="1372"/>
      <c r="P335" s="1372"/>
      <c r="Q335" s="1372"/>
      <c r="R335" s="1372"/>
      <c r="T335" s="205" t="s">
        <v>886</v>
      </c>
      <c r="V335" s="3"/>
      <c r="W335" s="3"/>
      <c r="X335" s="3"/>
      <c r="Y335" s="3"/>
      <c r="AA335" s="1372" t="s">
        <v>2651</v>
      </c>
      <c r="AB335" s="1372"/>
      <c r="AC335" s="1372"/>
      <c r="AD335" s="1372"/>
      <c r="AE335" s="1372"/>
      <c r="AF335" s="1372"/>
      <c r="AG335" s="1372"/>
      <c r="AH335" s="1372"/>
      <c r="AI335" s="1372"/>
      <c r="AJ335" s="1372"/>
      <c r="AK335" s="1372"/>
    </row>
    <row r="336" spans="2:37" ht="13.05" customHeight="1">
      <c r="B336" s="3" t="s">
        <v>471</v>
      </c>
      <c r="C336" s="3"/>
      <c r="D336" s="3"/>
      <c r="E336" s="3"/>
      <c r="F336" s="3"/>
      <c r="H336" s="1349" t="s">
        <v>2657</v>
      </c>
      <c r="I336" s="1349"/>
      <c r="J336" s="1349"/>
      <c r="K336" s="1349"/>
      <c r="L336" s="1349"/>
      <c r="M336" s="1349"/>
      <c r="N336" s="1349"/>
      <c r="O336" s="1349"/>
      <c r="P336" s="1349"/>
      <c r="Q336" s="1349"/>
      <c r="R336" s="1349"/>
      <c r="T336" s="3" t="s">
        <v>471</v>
      </c>
      <c r="V336" s="3"/>
      <c r="W336" s="3"/>
      <c r="X336" s="3"/>
      <c r="Y336" s="3"/>
      <c r="AA336" s="1349" t="s">
        <v>2652</v>
      </c>
      <c r="AB336" s="1349"/>
      <c r="AC336" s="1349"/>
      <c r="AD336" s="1349"/>
      <c r="AE336" s="1349"/>
      <c r="AF336" s="1349"/>
      <c r="AG336" s="1349"/>
      <c r="AH336" s="1349"/>
      <c r="AI336" s="1349"/>
      <c r="AJ336" s="1349"/>
      <c r="AK336" s="1349"/>
    </row>
    <row r="337" spans="1:66" ht="13.05" customHeight="1">
      <c r="B337" s="3" t="s">
        <v>75</v>
      </c>
      <c r="C337" s="3"/>
      <c r="D337" s="3"/>
      <c r="E337" s="3"/>
      <c r="F337" s="3"/>
      <c r="H337" s="1349" t="s">
        <v>2658</v>
      </c>
      <c r="I337" s="1349"/>
      <c r="J337" s="1349"/>
      <c r="K337" s="1349"/>
      <c r="L337" s="1349"/>
      <c r="M337" s="1349"/>
      <c r="N337" s="1349"/>
      <c r="O337" s="1349"/>
      <c r="P337" s="1349"/>
      <c r="Q337" s="1349"/>
      <c r="R337" s="1349"/>
      <c r="T337" s="3" t="s">
        <v>75</v>
      </c>
      <c r="V337" s="3"/>
      <c r="W337" s="3"/>
      <c r="X337" s="3"/>
      <c r="Y337" s="3"/>
      <c r="AA337" s="1349" t="s">
        <v>2636</v>
      </c>
      <c r="AB337" s="1349"/>
      <c r="AC337" s="1349"/>
      <c r="AD337" s="1349"/>
      <c r="AE337" s="1349"/>
      <c r="AF337" s="1349"/>
      <c r="AG337" s="1349"/>
      <c r="AH337" s="1349"/>
      <c r="AI337" s="1349"/>
      <c r="AJ337" s="1349"/>
      <c r="AK337" s="1349"/>
    </row>
    <row r="338" spans="1:66" ht="13.05" customHeight="1">
      <c r="B338" s="3" t="s">
        <v>87</v>
      </c>
      <c r="C338" s="3"/>
      <c r="D338" s="3"/>
      <c r="E338" s="3"/>
      <c r="F338" s="3"/>
      <c r="G338" s="3"/>
      <c r="H338" s="1349" t="s">
        <v>2659</v>
      </c>
      <c r="I338" s="1349"/>
      <c r="J338" s="1349"/>
      <c r="K338" s="1349"/>
      <c r="L338" s="1349"/>
      <c r="M338" s="1349"/>
      <c r="N338" s="1349"/>
      <c r="O338" s="1349"/>
      <c r="P338" s="1349"/>
      <c r="Q338" s="1349"/>
      <c r="R338" s="1349"/>
      <c r="T338" s="3" t="s">
        <v>87</v>
      </c>
      <c r="V338" s="3"/>
      <c r="W338" s="3"/>
      <c r="X338" s="3"/>
      <c r="Y338" s="3"/>
      <c r="AA338" s="1349" t="s">
        <v>2653</v>
      </c>
      <c r="AB338" s="1349"/>
      <c r="AC338" s="1349"/>
      <c r="AD338" s="1349"/>
      <c r="AE338" s="1349"/>
      <c r="AF338" s="1349"/>
      <c r="AG338" s="1349"/>
      <c r="AH338" s="1349"/>
      <c r="AI338" s="1349"/>
      <c r="AJ338" s="1349"/>
      <c r="AK338" s="1349"/>
    </row>
    <row r="339" spans="1:66" ht="13.05" customHeight="1">
      <c r="B339" s="3" t="s">
        <v>88</v>
      </c>
      <c r="C339" s="3"/>
      <c r="D339" s="3"/>
      <c r="E339" s="3"/>
      <c r="F339" s="3"/>
      <c r="G339" s="3"/>
      <c r="H339" s="1424" t="s">
        <v>2660</v>
      </c>
      <c r="I339" s="1424"/>
      <c r="J339" s="1424"/>
      <c r="K339" s="1424"/>
      <c r="L339" s="1424"/>
      <c r="M339" s="1424"/>
      <c r="N339" s="4" t="s">
        <v>205</v>
      </c>
      <c r="O339" s="4"/>
      <c r="P339" s="1418"/>
      <c r="Q339" s="1418"/>
      <c r="R339" s="1418"/>
      <c r="S339" s="3"/>
      <c r="T339" s="3" t="s">
        <v>88</v>
      </c>
      <c r="V339" s="3"/>
      <c r="W339" s="3"/>
      <c r="X339" s="3"/>
      <c r="Y339" s="3"/>
      <c r="AA339" s="1424" t="s">
        <v>2654</v>
      </c>
      <c r="AB339" s="1424"/>
      <c r="AC339" s="1424"/>
      <c r="AD339" s="1424"/>
      <c r="AE339" s="1424"/>
      <c r="AF339" s="1424"/>
      <c r="AG339" s="4" t="s">
        <v>205</v>
      </c>
      <c r="AH339" s="4"/>
      <c r="AI339" s="1418"/>
      <c r="AJ339" s="1418"/>
      <c r="AK339" s="1418"/>
    </row>
    <row r="340" spans="1:66" ht="13.05" customHeight="1">
      <c r="B340" s="3" t="s">
        <v>89</v>
      </c>
      <c r="C340" s="3"/>
      <c r="D340" s="3"/>
      <c r="E340" s="3"/>
      <c r="F340" s="3"/>
      <c r="G340" s="3"/>
      <c r="H340" s="1347" t="s">
        <v>2661</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05" customHeight="1">
      <c r="B341" s="3" t="s">
        <v>76</v>
      </c>
      <c r="C341" s="3"/>
      <c r="D341" s="3"/>
      <c r="E341" s="3"/>
      <c r="F341" s="3"/>
      <c r="G341" s="3"/>
      <c r="H341" s="1349" t="s">
        <v>2662</v>
      </c>
      <c r="I341" s="1349"/>
      <c r="J341" s="1349"/>
      <c r="K341" s="1349"/>
      <c r="L341" s="1349"/>
      <c r="M341" s="1349"/>
      <c r="N341" s="1372"/>
      <c r="O341" s="1372"/>
      <c r="P341" s="1372"/>
      <c r="Q341" s="1372"/>
      <c r="R341" s="1372"/>
      <c r="S341" s="3"/>
      <c r="T341" s="3" t="s">
        <v>76</v>
      </c>
      <c r="V341" s="3"/>
      <c r="W341" s="3"/>
      <c r="X341" s="3"/>
      <c r="Y341" s="3"/>
      <c r="AA341" s="1349" t="s">
        <v>2655</v>
      </c>
      <c r="AB341" s="1349"/>
      <c r="AC341" s="1349"/>
      <c r="AD341" s="1349"/>
      <c r="AE341" s="1349"/>
      <c r="AF341" s="1349"/>
      <c r="AG341" s="1372"/>
      <c r="AH341" s="1372"/>
      <c r="AI341" s="1372"/>
      <c r="AJ341" s="1372"/>
      <c r="AK341" s="137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372" t="s">
        <v>2644</v>
      </c>
      <c r="Q343" s="1372"/>
      <c r="R343" s="1372"/>
      <c r="S343" s="1372"/>
      <c r="T343" s="1372"/>
      <c r="U343" s="1372"/>
      <c r="V343" s="1372"/>
      <c r="W343" s="1372"/>
      <c r="X343" s="1372"/>
      <c r="Y343" s="1372"/>
      <c r="Z343" s="1372"/>
      <c r="AA343" s="1372"/>
      <c r="AB343" s="1372"/>
      <c r="AC343" s="1372"/>
      <c r="AD343" s="1372"/>
      <c r="AE343" s="1372"/>
      <c r="BN343" t="s">
        <v>669</v>
      </c>
    </row>
    <row r="344" spans="1:66" ht="13.0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0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0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05"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205</v>
      </c>
      <c r="AB347" s="4"/>
      <c r="AC347" s="1437"/>
      <c r="AD347" s="1437"/>
      <c r="AE347" s="1437"/>
      <c r="AF347" s="303"/>
      <c r="AG347" s="4"/>
      <c r="AH347" s="4"/>
      <c r="AI347" s="4"/>
      <c r="AJ347" s="4"/>
      <c r="AK347" s="4"/>
    </row>
    <row r="348" spans="1:66" ht="13.05"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0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05" customHeight="1">
      <c r="T350" s="8"/>
      <c r="U350" s="8"/>
      <c r="V350" s="8"/>
      <c r="W350" s="8"/>
      <c r="X350" s="8"/>
      <c r="Y350" s="8"/>
      <c r="Z350" s="8"/>
      <c r="AU350" s="95"/>
      <c r="AV350" s="95"/>
      <c r="AW350" s="95"/>
      <c r="AX350" s="95"/>
      <c r="AY350" s="95"/>
    </row>
    <row r="351" spans="1:66" ht="13.0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0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333" t="s">
        <v>545</v>
      </c>
      <c r="N355" s="1333"/>
      <c r="P355" t="s">
        <v>1650</v>
      </c>
      <c r="AJ355" s="1333" t="s">
        <v>545</v>
      </c>
      <c r="AK355" s="1333"/>
    </row>
    <row r="356" spans="1:46" ht="13.05" customHeight="1">
      <c r="D356" s="3" t="s">
        <v>1639</v>
      </c>
      <c r="M356" s="1333" t="s">
        <v>591</v>
      </c>
      <c r="N356" s="1333"/>
      <c r="P356" s="3" t="s">
        <v>1719</v>
      </c>
      <c r="AJ356" s="1447">
        <v>0</v>
      </c>
      <c r="AK356" s="1447"/>
    </row>
    <row r="357" spans="1:46" ht="13.05" customHeight="1">
      <c r="D357" s="3" t="s">
        <v>704</v>
      </c>
      <c r="M357" s="1333" t="s">
        <v>591</v>
      </c>
      <c r="N357" s="1333"/>
      <c r="P357" t="s">
        <v>1649</v>
      </c>
      <c r="AJ357" s="1333" t="s">
        <v>545</v>
      </c>
      <c r="AK357" s="1333"/>
    </row>
    <row r="358" spans="1:46" ht="13.05" customHeight="1">
      <c r="D358" s="3" t="s">
        <v>705</v>
      </c>
      <c r="M358" s="1333" t="s">
        <v>591</v>
      </c>
      <c r="N358" s="1333"/>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3.05" customHeight="1">
      <c r="E364" t="s">
        <v>369</v>
      </c>
      <c r="Y364" s="1333" t="s">
        <v>591</v>
      </c>
      <c r="Z364" s="1333"/>
    </row>
    <row r="365" spans="1:46" ht="13.0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333" t="s">
        <v>669</v>
      </c>
      <c r="K367" s="1333"/>
      <c r="L367" s="40"/>
      <c r="M367" s="40"/>
      <c r="N367" s="40"/>
      <c r="O367" s="40"/>
      <c r="P367" s="40"/>
      <c r="Q367" s="40"/>
      <c r="R367" s="40"/>
      <c r="S367" s="40"/>
      <c r="T367" s="40"/>
      <c r="U367" s="40"/>
      <c r="V367" s="40"/>
      <c r="W367" s="40"/>
      <c r="X367" s="40"/>
      <c r="Y367" s="40"/>
      <c r="Z367" s="40"/>
      <c r="AC367" s="40"/>
      <c r="AD367" s="40"/>
      <c r="AE367" s="40"/>
    </row>
    <row r="368" spans="1:46" ht="13.0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0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0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v>1</v>
      </c>
      <c r="AD370" s="1663"/>
      <c r="AE370" s="1663"/>
      <c r="AF370" s="1663"/>
    </row>
    <row r="371" spans="1:34" ht="13.05" customHeight="1">
      <c r="E371" s="4" t="s">
        <v>450</v>
      </c>
      <c r="F371" s="4"/>
      <c r="G371" s="4"/>
      <c r="H371" s="4"/>
      <c r="I371" s="4"/>
      <c r="J371" s="4"/>
      <c r="K371" s="4"/>
      <c r="L371" s="4"/>
      <c r="N371" s="1663">
        <v>1</v>
      </c>
      <c r="O371" s="1663"/>
      <c r="P371" s="1663"/>
      <c r="Q371" s="1663"/>
      <c r="R371" s="4"/>
      <c r="U371" s="4" t="s">
        <v>0</v>
      </c>
      <c r="V371" s="4"/>
      <c r="W371" s="4"/>
      <c r="X371" s="4"/>
      <c r="Y371" s="4"/>
      <c r="Z371" s="4"/>
      <c r="AA371" s="4"/>
      <c r="AB371" s="4"/>
      <c r="AC371" s="1663"/>
      <c r="AD371" s="1663"/>
      <c r="AE371" s="1663"/>
      <c r="AF371" s="1663"/>
    </row>
    <row r="372" spans="1:34" ht="13.05" customHeight="1">
      <c r="E372" s="4" t="s">
        <v>1</v>
      </c>
      <c r="F372" s="4"/>
      <c r="G372" s="4"/>
      <c r="H372" s="4"/>
      <c r="I372" s="4"/>
      <c r="J372" s="4"/>
      <c r="K372" s="4"/>
      <c r="L372" s="4"/>
      <c r="N372" s="1663">
        <v>1</v>
      </c>
      <c r="O372" s="1663"/>
      <c r="P372" s="1663"/>
      <c r="Q372" s="1663"/>
      <c r="R372" s="4"/>
      <c r="V372" s="4"/>
      <c r="W372" s="4"/>
      <c r="X372" s="4"/>
      <c r="Y372" s="4"/>
      <c r="Z372" s="4"/>
      <c r="AA372" s="4"/>
      <c r="AB372" s="4"/>
    </row>
    <row r="373" spans="1:34" ht="13.05" customHeight="1">
      <c r="E373" s="4" t="s">
        <v>2</v>
      </c>
      <c r="F373" s="4"/>
      <c r="G373" s="4"/>
      <c r="H373" s="4"/>
      <c r="I373" s="4"/>
      <c r="J373" s="4"/>
      <c r="K373" s="4"/>
      <c r="L373" s="4"/>
      <c r="N373" s="1803" t="s">
        <v>2715</v>
      </c>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0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816"/>
      <c r="T377" s="1816"/>
      <c r="U377" s="1" t="s">
        <v>305</v>
      </c>
      <c r="V377" s="1816"/>
      <c r="W377" s="1816"/>
      <c r="Y377" t="s">
        <v>2081</v>
      </c>
      <c r="AC377" s="27" t="s">
        <v>304</v>
      </c>
      <c r="AD377" s="1816"/>
      <c r="AE377" s="1816"/>
      <c r="AF377" s="1" t="s">
        <v>305</v>
      </c>
      <c r="AG377" s="1816"/>
      <c r="AH377" s="1816"/>
    </row>
    <row r="378" spans="1:34" ht="13.05" customHeight="1">
      <c r="E378" s="4" t="s">
        <v>987</v>
      </c>
      <c r="F378" s="4"/>
      <c r="G378" s="4"/>
      <c r="H378" s="4"/>
      <c r="I378" s="4"/>
      <c r="J378" s="4"/>
      <c r="K378" s="4"/>
      <c r="L378" s="4"/>
      <c r="N378" s="1816"/>
      <c r="O378" s="1816"/>
      <c r="P378" s="1816"/>
    </row>
    <row r="379" spans="1:34" ht="13.05" customHeight="1">
      <c r="E379" s="205" t="s">
        <v>2087</v>
      </c>
      <c r="F379" s="4"/>
      <c r="G379" s="4"/>
      <c r="H379" s="4"/>
      <c r="I379" s="4"/>
      <c r="J379" s="4"/>
      <c r="K379" s="4"/>
      <c r="L379" s="4"/>
      <c r="AG379" s="1805" t="s">
        <v>591</v>
      </c>
      <c r="AH379" s="1805"/>
    </row>
    <row r="380" spans="1:34" ht="13.05" customHeight="1">
      <c r="E380" s="4"/>
      <c r="F380" s="4"/>
      <c r="G380" s="4" t="s">
        <v>2088</v>
      </c>
      <c r="H380" s="4"/>
      <c r="I380" s="4"/>
      <c r="J380" s="4"/>
      <c r="K380" s="4"/>
      <c r="L380" s="4"/>
      <c r="AG380" s="1805" t="s">
        <v>591</v>
      </c>
      <c r="AH380" s="1805"/>
    </row>
    <row r="381" spans="1:34" ht="13.05" customHeight="1">
      <c r="E381" s="4"/>
      <c r="F381" s="4"/>
      <c r="G381" s="321" t="s">
        <v>988</v>
      </c>
      <c r="H381" s="4"/>
      <c r="I381" s="4"/>
      <c r="J381" s="4"/>
      <c r="K381" s="4"/>
      <c r="L381" s="4"/>
      <c r="V381" s="1333" t="s">
        <v>591</v>
      </c>
      <c r="W381" s="1333"/>
      <c r="Y381" s="22" t="s">
        <v>980</v>
      </c>
    </row>
    <row r="382" spans="1:34" ht="13.05" customHeight="1">
      <c r="E382" s="4" t="s">
        <v>981</v>
      </c>
      <c r="F382" s="4"/>
      <c r="G382" s="4"/>
      <c r="H382" s="4"/>
      <c r="I382" s="4"/>
      <c r="J382" s="4"/>
      <c r="K382" s="4"/>
      <c r="L382" s="4"/>
      <c r="V382" s="1333" t="s">
        <v>591</v>
      </c>
      <c r="W382" s="1333"/>
      <c r="Y382" s="4" t="s">
        <v>982</v>
      </c>
    </row>
    <row r="383" spans="1:34" ht="13.05" customHeight="1"/>
    <row r="384" spans="1:34" ht="13.05" customHeight="1">
      <c r="A384" s="2" t="s">
        <v>78</v>
      </c>
      <c r="B384" s="2"/>
    </row>
    <row r="385" spans="4:36" ht="13.05" customHeight="1">
      <c r="D385" t="s">
        <v>427</v>
      </c>
      <c r="J385" s="1417" t="s">
        <v>2680</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3.05" customHeight="1">
      <c r="D386" s="3" t="s">
        <v>1182</v>
      </c>
      <c r="J386" s="1546" t="s">
        <v>2681</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3.05" customHeight="1">
      <c r="D387" s="3" t="s">
        <v>441</v>
      </c>
      <c r="J387" s="1546" t="s">
        <v>2682</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3.05" customHeight="1">
      <c r="D388" t="s">
        <v>1178</v>
      </c>
      <c r="J388" s="1403" t="s">
        <v>2683</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05" customHeight="1">
      <c r="D389" t="s">
        <v>4</v>
      </c>
      <c r="Q389" s="1751"/>
      <c r="R389" s="1751"/>
      <c r="S389" s="1751"/>
      <c r="T389" s="1751"/>
      <c r="U389" s="1751"/>
      <c r="V389" t="s">
        <v>308</v>
      </c>
      <c r="AI389" s="1333" t="s">
        <v>669</v>
      </c>
      <c r="AJ389" s="1333"/>
    </row>
    <row r="390" spans="4:36" ht="13.05" customHeight="1">
      <c r="D390" t="s">
        <v>5</v>
      </c>
      <c r="Q390" s="1534"/>
      <c r="R390" s="1820"/>
      <c r="S390" s="1820"/>
      <c r="T390" s="1820"/>
      <c r="U390" s="1820"/>
      <c r="W390" s="21" t="s">
        <v>74</v>
      </c>
      <c r="AG390" s="1818"/>
      <c r="AH390" s="1818"/>
      <c r="AI390" s="1818"/>
      <c r="AJ390" s="1818"/>
    </row>
    <row r="391" spans="4:36" ht="13.05" customHeight="1">
      <c r="D391" t="s">
        <v>426</v>
      </c>
      <c r="Q391" s="1829">
        <v>4500000</v>
      </c>
      <c r="R391" s="1829"/>
      <c r="S391" s="1829"/>
      <c r="T391" s="1829"/>
      <c r="U391" s="1829"/>
      <c r="V391" s="3" t="s">
        <v>1181</v>
      </c>
      <c r="AG391" s="1819">
        <v>45649</v>
      </c>
      <c r="AH391" s="1819"/>
      <c r="AI391" s="1819"/>
      <c r="AJ391" s="1819"/>
    </row>
    <row r="392" spans="4:36" ht="13.05" customHeight="1">
      <c r="D392" t="s">
        <v>88</v>
      </c>
      <c r="I392" s="1424"/>
      <c r="J392" s="1424"/>
      <c r="K392" s="1424"/>
      <c r="L392" s="1424"/>
      <c r="M392" s="1424"/>
      <c r="N392" s="1424"/>
      <c r="Q392" s="4" t="s">
        <v>205</v>
      </c>
      <c r="S392" s="1828"/>
      <c r="T392" s="1828"/>
      <c r="U392" s="1828"/>
      <c r="V392" t="s">
        <v>73</v>
      </c>
      <c r="AI392" s="1333" t="s">
        <v>669</v>
      </c>
      <c r="AJ392" s="1333"/>
    </row>
    <row r="393" spans="4:36" ht="13.05" customHeight="1">
      <c r="D393" t="s">
        <v>309</v>
      </c>
      <c r="Q393" s="1409">
        <f>AG393/11</f>
        <v>66848.454545454544</v>
      </c>
      <c r="R393" s="1409"/>
      <c r="S393" s="1409"/>
      <c r="T393" s="1409"/>
      <c r="U393" s="1409"/>
      <c r="V393" t="s">
        <v>310</v>
      </c>
      <c r="AG393" s="1818">
        <v>735333</v>
      </c>
      <c r="AH393" s="1818"/>
      <c r="AI393" s="1818"/>
      <c r="AJ393" s="1818"/>
    </row>
    <row r="394" spans="4:36" ht="13.05" customHeight="1">
      <c r="D394" t="s">
        <v>311</v>
      </c>
      <c r="Q394" s="1755"/>
      <c r="R394" s="1755"/>
      <c r="S394" s="1755"/>
      <c r="T394" s="1755"/>
      <c r="U394" s="1755"/>
      <c r="V394" t="s">
        <v>1163</v>
      </c>
      <c r="AG394" s="1818"/>
      <c r="AH394" s="1818"/>
      <c r="AI394" s="1818"/>
      <c r="AJ394" s="1818"/>
    </row>
    <row r="395" spans="4:36" ht="13.05" customHeight="1">
      <c r="D395" t="s">
        <v>1162</v>
      </c>
      <c r="AG395" s="1818"/>
      <c r="AH395" s="1818"/>
      <c r="AI395" s="1818"/>
      <c r="AJ395" s="1818"/>
    </row>
    <row r="396" spans="4:36" ht="13.05" customHeight="1">
      <c r="AG396" s="457"/>
      <c r="AH396" s="457"/>
      <c r="AI396" s="457"/>
      <c r="AJ396" s="457"/>
    </row>
    <row r="397" spans="4:36" ht="13.05" customHeight="1">
      <c r="D397" s="3" t="s">
        <v>2144</v>
      </c>
      <c r="AG397" s="457"/>
      <c r="AH397" s="457"/>
      <c r="AI397" s="1333" t="s">
        <v>669</v>
      </c>
      <c r="AJ397" s="1333"/>
    </row>
    <row r="398" spans="4:36" ht="13.0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3.0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3.05" customHeight="1">
      <c r="AG400" s="457"/>
      <c r="AH400" s="457"/>
      <c r="AI400" s="457"/>
      <c r="AJ400" s="457"/>
    </row>
    <row r="401" spans="1:36" ht="13.05" customHeight="1">
      <c r="D401" s="3" t="s">
        <v>1660</v>
      </c>
      <c r="S401" s="1750" t="s">
        <v>669</v>
      </c>
      <c r="T401" s="1750"/>
      <c r="U401" s="1750"/>
      <c r="V401" t="s">
        <v>1661</v>
      </c>
      <c r="AG401" s="1822"/>
      <c r="AH401" s="1822"/>
      <c r="AI401" s="1822"/>
      <c r="AJ401" s="1822"/>
    </row>
    <row r="402" spans="1:36" ht="13.05" customHeight="1">
      <c r="D402" s="3" t="s">
        <v>1658</v>
      </c>
      <c r="S402" s="1750" t="s">
        <v>591</v>
      </c>
      <c r="T402" s="1750"/>
      <c r="U402" s="1750"/>
      <c r="V402" t="s">
        <v>1663</v>
      </c>
      <c r="AE402" s="1817"/>
      <c r="AF402" s="1817"/>
      <c r="AG402" s="1817"/>
      <c r="AH402" s="1817"/>
      <c r="AI402" s="1817"/>
      <c r="AJ402" s="1817"/>
    </row>
    <row r="403" spans="1:36" ht="13.0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0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05" customHeight="1">
      <c r="D405" s="3" t="s">
        <v>1665</v>
      </c>
      <c r="E405" s="478"/>
      <c r="F405" s="478"/>
      <c r="G405" s="478"/>
      <c r="H405" s="478"/>
      <c r="I405" s="478"/>
      <c r="J405" s="478"/>
      <c r="K405" s="478"/>
      <c r="L405" s="478"/>
      <c r="M405" s="478"/>
      <c r="N405" s="478"/>
      <c r="O405" s="478"/>
      <c r="P405" s="478"/>
      <c r="Q405" s="478"/>
      <c r="R405" s="478"/>
      <c r="S405" s="1827" t="s">
        <v>2684</v>
      </c>
      <c r="T405" s="1827"/>
      <c r="U405" s="1827"/>
      <c r="V405" s="1827"/>
      <c r="W405" s="1827"/>
      <c r="X405" s="1827"/>
      <c r="Y405" s="1827"/>
      <c r="Z405" s="1827"/>
      <c r="AA405" s="1827"/>
      <c r="AB405" s="1827"/>
      <c r="AC405" s="1827"/>
      <c r="AD405" s="1827"/>
      <c r="AE405" s="1827"/>
      <c r="AF405" s="1827"/>
      <c r="AG405" s="1827"/>
      <c r="AH405" s="1827"/>
      <c r="AI405" s="1827"/>
      <c r="AJ405" s="1827"/>
    </row>
    <row r="406" spans="1:36" ht="13.0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417" t="s">
        <v>2685</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05" customHeight="1">
      <c r="E411" t="s">
        <v>106</v>
      </c>
      <c r="R411" s="1333" t="s">
        <v>545</v>
      </c>
      <c r="S411" s="1333"/>
      <c r="AC411" s="27" t="s">
        <v>570</v>
      </c>
      <c r="AD411" s="1663">
        <v>5</v>
      </c>
      <c r="AE411" s="1663"/>
    </row>
    <row r="412" spans="1:36" ht="13.05" customHeight="1">
      <c r="E412" t="s">
        <v>107</v>
      </c>
      <c r="R412" s="1333" t="s">
        <v>591</v>
      </c>
      <c r="S412" s="1333"/>
      <c r="AC412" s="27" t="s">
        <v>570</v>
      </c>
      <c r="AD412" s="1663"/>
      <c r="AE412" s="1663"/>
    </row>
    <row r="413" spans="1:36" ht="13.05" customHeight="1">
      <c r="E413" t="s">
        <v>108</v>
      </c>
      <c r="S413" s="1333" t="s">
        <v>591</v>
      </c>
      <c r="T413" s="1333"/>
    </row>
    <row r="414" spans="1:36" ht="13.0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0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05" customHeight="1"/>
    <row r="417" spans="1:39" ht="13.05" customHeight="1">
      <c r="A417" s="2" t="s">
        <v>590</v>
      </c>
      <c r="B417" s="2"/>
      <c r="C417" s="2"/>
      <c r="D417" s="2" t="s">
        <v>114</v>
      </c>
      <c r="AF417" s="2" t="s">
        <v>957</v>
      </c>
    </row>
    <row r="418" spans="1:39" ht="13.05" customHeight="1">
      <c r="E418" s="1816">
        <v>150</v>
      </c>
      <c r="F418" s="1816"/>
      <c r="G418" s="1816"/>
      <c r="H418" s="13" t="s">
        <v>115</v>
      </c>
      <c r="I418" s="1816">
        <v>140</v>
      </c>
      <c r="J418" s="1816"/>
      <c r="K418" s="1816"/>
      <c r="L418" t="s">
        <v>116</v>
      </c>
      <c r="N418" s="27" t="s">
        <v>575</v>
      </c>
      <c r="P418" s="1759">
        <f>W418/43560</f>
        <v>0.48209366391184572</v>
      </c>
      <c r="Q418" s="1759"/>
      <c r="R418" s="1759"/>
      <c r="S418" t="s">
        <v>117</v>
      </c>
      <c r="W418" s="1826">
        <f>IF(E418&gt;0,(E418*I418),(P418*43560))</f>
        <v>21000</v>
      </c>
      <c r="X418" s="1826"/>
      <c r="Y418" s="1826"/>
      <c r="Z418" t="s">
        <v>118</v>
      </c>
      <c r="AF418" s="1760">
        <f>IFERROR(IF(P418&gt;0,(AG437/P418),(AG437/(W418/43560))),0)</f>
        <v>211.57714285714286</v>
      </c>
      <c r="AG418" s="1760"/>
      <c r="AH418" s="1760"/>
      <c r="AM418" s="3"/>
    </row>
    <row r="419" spans="1:39" ht="13.05" customHeight="1">
      <c r="E419" t="s">
        <v>51</v>
      </c>
    </row>
    <row r="420" spans="1:39" ht="13.0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05" customHeight="1">
      <c r="E421" s="118" t="s">
        <v>1736</v>
      </c>
      <c r="F421" s="1014"/>
      <c r="G421" s="1014"/>
      <c r="H421" s="1014"/>
      <c r="I421" s="1758">
        <f>P418</f>
        <v>0.48209366391184572</v>
      </c>
      <c r="J421" s="1758"/>
      <c r="K421" s="1758"/>
      <c r="L421" s="1014"/>
      <c r="M421" s="118"/>
      <c r="N421" s="1014"/>
      <c r="O421" s="1014"/>
      <c r="P421" s="1441">
        <f>(DU755+DU778+DU800)/I421</f>
        <v>423.15428571428572</v>
      </c>
      <c r="Q421" s="1441"/>
      <c r="R421" s="14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333">
        <v>1</v>
      </c>
      <c r="Q424" s="1333"/>
      <c r="S424" t="s">
        <v>188</v>
      </c>
      <c r="AE424" s="1333">
        <v>1</v>
      </c>
      <c r="AF424" s="1333"/>
    </row>
    <row r="425" spans="1:39" ht="13.05" customHeight="1">
      <c r="E425" t="s">
        <v>189</v>
      </c>
      <c r="P425" s="1333">
        <v>0</v>
      </c>
      <c r="Q425" s="1333"/>
      <c r="S425" t="s">
        <v>131</v>
      </c>
      <c r="AE425" s="1333" t="s">
        <v>591</v>
      </c>
      <c r="AF425" s="1333"/>
    </row>
    <row r="426" spans="1:39" ht="13.05" customHeight="1">
      <c r="F426" s="28" t="s">
        <v>132</v>
      </c>
    </row>
    <row r="427" spans="1:39" ht="13.0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0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05" customHeight="1">
      <c r="E429" t="s">
        <v>608</v>
      </c>
      <c r="P429" s="1"/>
      <c r="Q429" s="1333" t="s">
        <v>669</v>
      </c>
      <c r="R429" s="1333"/>
    </row>
    <row r="430" spans="1:39" ht="13.05" customHeight="1">
      <c r="F430" t="s">
        <v>609</v>
      </c>
      <c r="P430" s="1"/>
      <c r="Q430" s="1"/>
      <c r="AF430" s="1333" t="s">
        <v>591</v>
      </c>
      <c r="AG430" s="1824"/>
    </row>
    <row r="431" spans="1:39" ht="13.05" customHeight="1"/>
    <row r="432" spans="1:39" ht="13.05" customHeight="1">
      <c r="A432" s="2"/>
      <c r="B432" s="2"/>
      <c r="C432" s="2"/>
      <c r="E432" s="4" t="s">
        <v>307</v>
      </c>
      <c r="Z432" s="1333" t="s">
        <v>669</v>
      </c>
      <c r="AA432" s="1333"/>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05" customHeight="1"/>
    <row r="436" spans="1:55" ht="13.05" customHeight="1">
      <c r="A436" s="2" t="s">
        <v>467</v>
      </c>
      <c r="B436" s="2"/>
      <c r="C436" s="2"/>
      <c r="D436" s="2" t="s">
        <v>764</v>
      </c>
      <c r="AF436" s="48"/>
    </row>
    <row r="437" spans="1:55" ht="13.0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102</v>
      </c>
      <c r="AH437" s="1821"/>
      <c r="AI437" s="1821"/>
      <c r="AJ437" s="1821"/>
    </row>
    <row r="438" spans="1:55" ht="13.0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3"/>
      <c r="AI438" s="1613"/>
      <c r="AJ438" s="1613"/>
    </row>
    <row r="439" spans="1:55" ht="13.0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101</v>
      </c>
      <c r="AH439" s="1821"/>
      <c r="AI439" s="1821"/>
      <c r="AJ439" s="1821"/>
    </row>
    <row r="440" spans="1:55" ht="13.0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f>AG439</f>
        <v>101</v>
      </c>
      <c r="AH440" s="1821"/>
      <c r="AI440" s="1821"/>
      <c r="AJ440" s="1821"/>
    </row>
    <row r="441" spans="1:55" ht="13.0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7">
        <f>IF(ISERROR(AG440/AG439),0,AG440/AG439)</f>
        <v>1</v>
      </c>
      <c r="AH441" s="1807"/>
      <c r="AI441" s="1807"/>
      <c r="AJ441" s="1807"/>
    </row>
    <row r="442" spans="1:55" ht="13.0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51678-507</f>
        <v>51171</v>
      </c>
      <c r="AH442" s="1695"/>
      <c r="AI442" s="1695"/>
      <c r="AJ442" s="1695"/>
    </row>
    <row r="443" spans="1:55" ht="13.0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f>AG442</f>
        <v>51171</v>
      </c>
      <c r="AH443" s="1695"/>
      <c r="AI443" s="1695"/>
      <c r="AJ443" s="1695"/>
    </row>
    <row r="444" spans="1:55" ht="13.0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7">
        <f>IF(ISERROR(AG443/AG442),0,AG443/AG442)</f>
        <v>1</v>
      </c>
      <c r="AH444" s="1807"/>
      <c r="AI444" s="1807"/>
      <c r="AJ444" s="1807"/>
    </row>
    <row r="445" spans="1:55" ht="13.0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7">
        <f>MIN(IF(AG441&gt;AG444,AG444,AG441),1)</f>
        <v>1</v>
      </c>
      <c r="AH445" s="1807"/>
      <c r="AI445" s="1807"/>
      <c r="AJ445" s="1807"/>
    </row>
    <row r="446" spans="1:55" ht="13.0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993</v>
      </c>
      <c r="AH446" s="1695"/>
      <c r="AI446" s="1695"/>
      <c r="AJ446" s="1695"/>
      <c r="AZ446" s="34"/>
      <c r="BA446" s="34"/>
      <c r="BB446" s="34"/>
      <c r="BC446" s="34"/>
    </row>
    <row r="447" spans="1:55" ht="13.0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3.0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f>72735-AG446-AG443</f>
        <v>20571</v>
      </c>
      <c r="AH448" s="1695"/>
      <c r="AI448" s="1695"/>
      <c r="AJ448" s="1695"/>
      <c r="AZ448" s="3"/>
      <c r="BA448" s="3"/>
      <c r="BB448" s="3"/>
      <c r="BC448" s="3"/>
    </row>
    <row r="449" spans="1:55" ht="13.0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3.0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72735</v>
      </c>
      <c r="AH450" s="1845"/>
      <c r="AI450" s="1845"/>
      <c r="AJ450" s="1845"/>
      <c r="AZ450" s="3"/>
      <c r="BA450" s="3"/>
      <c r="BB450" s="3"/>
      <c r="BC450" s="3"/>
    </row>
    <row r="451" spans="1:55" ht="13.0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0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341062.64705882355</v>
      </c>
      <c r="AD454" s="1813"/>
      <c r="AE454" s="1813"/>
      <c r="AF454" s="1813"/>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341062.64705882355</v>
      </c>
      <c r="AD455" s="1813"/>
      <c r="AE455" s="1813"/>
      <c r="AF455" s="1813"/>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266279.27450980392</v>
      </c>
      <c r="AD456" s="1813"/>
      <c r="AE456" s="1813"/>
      <c r="AF456" s="1813"/>
      <c r="AG456" s="177"/>
      <c r="AH456" s="177"/>
      <c r="AI456" s="177"/>
      <c r="AJ456" s="183"/>
      <c r="AZ456" s="3"/>
      <c r="BA456" s="3"/>
      <c r="BB456" s="3"/>
      <c r="BC456" s="3"/>
    </row>
    <row r="457" spans="1:55" ht="13.0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0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2" t="s">
        <v>2192</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0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05" customHeight="1">
      <c r="B486" s="45" t="s">
        <v>393</v>
      </c>
      <c r="C486" s="5"/>
      <c r="D486" s="5"/>
      <c r="E486" s="5"/>
      <c r="F486" s="5"/>
      <c r="G486" s="5"/>
      <c r="H486" s="5"/>
      <c r="I486" s="5"/>
      <c r="J486" s="5"/>
      <c r="K486" s="5"/>
      <c r="L486" s="5"/>
      <c r="M486" s="5"/>
      <c r="N486" s="5"/>
      <c r="O486" s="5"/>
      <c r="P486" s="5"/>
      <c r="Q486" s="1545" t="s">
        <v>2714</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3.05" customHeight="1">
      <c r="B487" s="45" t="s">
        <v>394</v>
      </c>
      <c r="C487" s="5"/>
      <c r="D487" s="5"/>
      <c r="E487" s="5"/>
      <c r="F487" s="5"/>
      <c r="G487" s="5"/>
      <c r="H487" s="5"/>
      <c r="I487" s="5"/>
      <c r="J487" s="5"/>
      <c r="K487" s="5"/>
      <c r="L487" s="5"/>
      <c r="M487" s="5"/>
      <c r="N487" s="5"/>
      <c r="O487" s="5"/>
      <c r="P487" s="5"/>
      <c r="Q487" s="1545" t="s">
        <v>2712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3.05" customHeight="1">
      <c r="B488" s="45" t="s">
        <v>395</v>
      </c>
      <c r="C488" s="5"/>
      <c r="D488" s="5"/>
      <c r="E488" s="5"/>
      <c r="F488" s="5"/>
      <c r="G488" s="5"/>
      <c r="H488" s="5"/>
      <c r="I488" s="5"/>
      <c r="J488" s="5"/>
      <c r="K488" s="5"/>
      <c r="L488" s="5"/>
      <c r="M488" s="5"/>
      <c r="N488" s="5"/>
      <c r="O488" s="5"/>
      <c r="P488" s="5"/>
      <c r="Q488" s="1577" t="s">
        <v>2712</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3.05" customHeight="1">
      <c r="B489" s="1833" t="s">
        <v>396</v>
      </c>
      <c r="C489" s="1834"/>
      <c r="D489" s="1834"/>
      <c r="E489" s="1834"/>
      <c r="F489" s="1834"/>
      <c r="G489" s="1834"/>
      <c r="H489" s="1834"/>
      <c r="I489" s="1834"/>
      <c r="J489" s="1834"/>
      <c r="K489" s="1834"/>
      <c r="L489" s="1834"/>
      <c r="M489" s="1834"/>
      <c r="N489" s="1834"/>
      <c r="O489" s="1834"/>
      <c r="P489" s="1835"/>
      <c r="Q489" s="1839" t="s">
        <v>545</v>
      </c>
      <c r="R489" s="1840"/>
      <c r="S489" s="1769" t="s">
        <v>2711</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05"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846" t="s">
        <v>669</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05" customHeight="1">
      <c r="B492" s="45" t="s">
        <v>397</v>
      </c>
      <c r="C492" s="5"/>
      <c r="D492" s="5"/>
      <c r="E492" s="5"/>
      <c r="F492" s="5"/>
      <c r="G492" s="5"/>
      <c r="H492" s="5"/>
      <c r="I492" s="5"/>
      <c r="J492" s="5"/>
      <c r="K492" s="5"/>
      <c r="L492" s="5"/>
      <c r="M492" s="5"/>
      <c r="N492" s="5"/>
      <c r="O492" s="5"/>
      <c r="P492" s="5"/>
      <c r="Q492" s="1577" t="s">
        <v>2713</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577">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3.05" customHeight="1">
      <c r="B495" s="121" t="s">
        <v>1669</v>
      </c>
      <c r="C495" s="5"/>
      <c r="D495" s="5"/>
      <c r="E495" s="5"/>
      <c r="F495" s="5"/>
      <c r="G495" s="5"/>
      <c r="H495" s="5"/>
      <c r="I495" s="5"/>
      <c r="J495" s="5"/>
      <c r="K495" s="5"/>
      <c r="L495" s="5"/>
      <c r="M495" s="1446">
        <v>0</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3.0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11</v>
      </c>
      <c r="AD501" s="1663"/>
      <c r="AE501" s="1663"/>
      <c r="AF501" s="1663"/>
      <c r="AG501" s="13" t="s">
        <v>402</v>
      </c>
      <c r="AH501" s="1403">
        <v>2024</v>
      </c>
      <c r="AI501" s="1403"/>
      <c r="AJ501" s="1403"/>
      <c r="AK501" s="1404"/>
      <c r="AZ501" s="3"/>
      <c r="BA501" s="3"/>
      <c r="BB501" s="3"/>
      <c r="BC501" s="3"/>
      <c r="BD501" s="3"/>
      <c r="BE501" s="3"/>
      <c r="BF501" s="3"/>
      <c r="BG501" s="3"/>
      <c r="BH501" s="3"/>
      <c r="BI501" s="3"/>
      <c r="BJ501" s="3"/>
      <c r="BK501" s="3"/>
      <c r="BL501" s="3"/>
      <c r="BM501" s="3"/>
      <c r="BN501" s="3"/>
    </row>
    <row r="502" spans="1:66" ht="13.0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12</v>
      </c>
      <c r="AD502" s="1663"/>
      <c r="AE502" s="1663"/>
      <c r="AF502" s="1663"/>
      <c r="AG502" s="38" t="s">
        <v>402</v>
      </c>
      <c r="AH502" s="1403">
        <v>2024</v>
      </c>
      <c r="AI502" s="1403"/>
      <c r="AJ502" s="1403"/>
      <c r="AK502" s="1404"/>
      <c r="AZ502" s="3"/>
      <c r="BA502" s="3"/>
      <c r="BB502" s="3"/>
      <c r="BC502" s="3"/>
      <c r="BD502" s="3"/>
      <c r="BE502" s="3"/>
      <c r="BF502" s="3"/>
      <c r="BG502" s="3"/>
      <c r="BH502" s="3"/>
      <c r="BI502" s="3"/>
      <c r="BJ502" s="3"/>
      <c r="BK502" s="3"/>
      <c r="BL502" s="3"/>
      <c r="BM502" s="3"/>
      <c r="BN502" s="3"/>
    </row>
    <row r="503" spans="1:66" ht="13.0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0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0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05" customHeight="1">
      <c r="B506" s="1673"/>
      <c r="C506" s="1433"/>
      <c r="D506" s="1433"/>
      <c r="E506" s="1433"/>
      <c r="F506" s="1433"/>
      <c r="G506" s="1433"/>
      <c r="H506" s="1434"/>
      <c r="I506" t="s">
        <v>411</v>
      </c>
      <c r="AC506" s="1662">
        <v>7</v>
      </c>
      <c r="AD506" s="1663"/>
      <c r="AE506" s="1663"/>
      <c r="AF506" s="1663"/>
      <c r="AG506" s="13" t="s">
        <v>402</v>
      </c>
      <c r="AH506" s="1403">
        <v>2025</v>
      </c>
      <c r="AI506" s="1403"/>
      <c r="AJ506" s="1403"/>
      <c r="AK506" s="1404"/>
      <c r="AZ506" s="3"/>
      <c r="BA506" s="3"/>
      <c r="BB506" s="3"/>
      <c r="BC506" s="3"/>
      <c r="BD506" s="3"/>
      <c r="BE506" s="3"/>
      <c r="BF506" s="3"/>
      <c r="BG506" s="3"/>
      <c r="BH506" s="3"/>
      <c r="BI506" s="3"/>
      <c r="BJ506" s="3"/>
      <c r="BK506" s="3"/>
      <c r="BL506" s="3"/>
      <c r="BM506" s="3"/>
      <c r="BN506" s="3"/>
    </row>
    <row r="507" spans="1:66" ht="13.05" customHeight="1">
      <c r="B507" s="1673"/>
      <c r="C507" s="1433"/>
      <c r="D507" s="1433"/>
      <c r="E507" s="1433"/>
      <c r="F507" s="1433"/>
      <c r="G507" s="1433"/>
      <c r="H507" s="1434"/>
      <c r="I507" s="3" t="s">
        <v>412</v>
      </c>
      <c r="AC507" s="1338">
        <v>7</v>
      </c>
      <c r="AD507" s="1339"/>
      <c r="AE507" s="1339"/>
      <c r="AF507" s="1339"/>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3.05" customHeight="1">
      <c r="B508" s="1673"/>
      <c r="C508" s="1433"/>
      <c r="D508" s="1433"/>
      <c r="E508" s="1433"/>
      <c r="F508" s="1433"/>
      <c r="G508" s="1433"/>
      <c r="H508" s="1434"/>
      <c r="I508" s="897"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4"/>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821" t="s">
        <v>1184</v>
      </c>
      <c r="AD509" s="1821"/>
      <c r="AE509" s="1821"/>
      <c r="AF509" s="1821"/>
      <c r="AG509" s="13"/>
      <c r="AH509" s="1336"/>
      <c r="AI509" s="1336"/>
      <c r="AJ509" s="1336"/>
      <c r="AK509" s="1671"/>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3"/>
      <c r="AZ513" s="3"/>
      <c r="BA513" s="3"/>
      <c r="BB513" s="3"/>
      <c r="BC513" s="3"/>
      <c r="BD513" s="3"/>
      <c r="BE513" s="3"/>
      <c r="BF513" s="3"/>
      <c r="BG513" s="3"/>
      <c r="BH513" s="3"/>
      <c r="BI513" s="3"/>
      <c r="BJ513" s="3"/>
      <c r="BK513" s="3"/>
      <c r="BL513" s="3"/>
      <c r="BM513" s="3"/>
      <c r="BN513" s="3" t="s">
        <v>2106</v>
      </c>
    </row>
    <row r="514" spans="2:66" ht="13.0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t="s">
        <v>591</v>
      </c>
      <c r="AD514" s="1663"/>
      <c r="AE514" s="1663"/>
      <c r="AF514" s="1663"/>
      <c r="AG514" s="13" t="s">
        <v>402</v>
      </c>
      <c r="AH514" s="1403"/>
      <c r="AI514" s="1403"/>
      <c r="AJ514" s="1403"/>
      <c r="AK514" s="1404"/>
      <c r="AZ514" s="3"/>
      <c r="BA514" s="3"/>
      <c r="BB514" s="3"/>
      <c r="BC514" s="3"/>
      <c r="BD514" s="3"/>
      <c r="BE514" s="3"/>
      <c r="BF514" s="3"/>
      <c r="BG514" s="3"/>
      <c r="BH514" s="3"/>
      <c r="BI514" s="3"/>
      <c r="BJ514" s="3"/>
      <c r="BK514" s="3"/>
      <c r="BL514" s="3"/>
      <c r="BM514" s="3"/>
      <c r="BN514" s="3" t="s">
        <v>2107</v>
      </c>
    </row>
    <row r="515" spans="2:66" ht="13.05" customHeight="1">
      <c r="B515" s="1673"/>
      <c r="C515" s="1433"/>
      <c r="D515" s="1433"/>
      <c r="E515" s="1433"/>
      <c r="F515" s="1433"/>
      <c r="G515" s="1433"/>
      <c r="H515" s="1434"/>
      <c r="I515" t="s">
        <v>415</v>
      </c>
      <c r="AC515" s="1662">
        <v>10</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3.0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8</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3.0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8" t="s">
        <v>591</v>
      </c>
      <c r="AD517" s="1339"/>
      <c r="AE517" s="1339"/>
      <c r="AF517" s="1339"/>
      <c r="AG517" s="129" t="s">
        <v>402</v>
      </c>
      <c r="AH517" s="1403"/>
      <c r="AI517" s="1403"/>
      <c r="AJ517" s="1403"/>
      <c r="AK517" s="1404"/>
      <c r="AZ517" s="3"/>
      <c r="BB517" s="3"/>
      <c r="BC517" s="3"/>
      <c r="BD517" s="3"/>
      <c r="BE517" s="3"/>
      <c r="BF517" s="3"/>
      <c r="BG517" s="3"/>
      <c r="BH517" s="3"/>
      <c r="BI517" s="3"/>
      <c r="BJ517" s="3"/>
      <c r="BK517" s="3"/>
      <c r="BL517" s="3"/>
      <c r="BM517" s="3"/>
      <c r="BN517" s="3" t="s">
        <v>2110</v>
      </c>
    </row>
    <row r="518" spans="2:66" ht="13.05" customHeight="1">
      <c r="B518" s="1673"/>
      <c r="C518" s="1433"/>
      <c r="D518" s="1433"/>
      <c r="E518" s="1433"/>
      <c r="F518" s="1433"/>
      <c r="G518" s="1433"/>
      <c r="H518" s="1434"/>
      <c r="I518" t="s">
        <v>415</v>
      </c>
      <c r="AC518" s="1662">
        <v>1</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2111</v>
      </c>
    </row>
    <row r="519" spans="2:66" ht="13.0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2027</v>
      </c>
      <c r="AI519" s="1403"/>
      <c r="AJ519" s="1403"/>
      <c r="AK519" s="1404"/>
      <c r="BB519" s="3"/>
      <c r="BC519" s="3"/>
      <c r="BD519" s="3"/>
      <c r="BE519" s="3"/>
      <c r="BF519" s="3"/>
      <c r="BG519" s="3"/>
      <c r="BH519" s="3"/>
      <c r="BI519" s="3"/>
      <c r="BJ519" s="3"/>
      <c r="BK519" s="3"/>
      <c r="BL519" s="3"/>
      <c r="BM519" s="3"/>
      <c r="BN519" s="3" t="s">
        <v>2112</v>
      </c>
    </row>
    <row r="520" spans="2:66" ht="13.05" customHeight="1">
      <c r="B520" s="1672" t="s">
        <v>418</v>
      </c>
      <c r="C520" s="1431"/>
      <c r="D520" s="1431"/>
      <c r="E520" s="1431"/>
      <c r="F520" s="1431"/>
      <c r="G520" s="1431"/>
      <c r="H520" s="1432"/>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8" t="s">
        <v>591</v>
      </c>
      <c r="AD520" s="1339"/>
      <c r="AE520" s="1339"/>
      <c r="AF520" s="1339"/>
      <c r="AG520" s="129" t="s">
        <v>402</v>
      </c>
      <c r="AH520" s="1403"/>
      <c r="AI520" s="1403"/>
      <c r="AJ520" s="1403"/>
      <c r="AK520" s="1404"/>
      <c r="AZ520" s="3"/>
      <c r="BB520" s="3"/>
      <c r="BC520" s="3"/>
      <c r="BD520" s="3"/>
      <c r="BE520" s="3"/>
      <c r="BF520" s="3"/>
      <c r="BG520" s="3"/>
      <c r="BH520" s="3"/>
      <c r="BI520" s="3"/>
      <c r="BJ520" s="3"/>
      <c r="BK520" s="3"/>
      <c r="BL520" s="3"/>
      <c r="BM520" s="3"/>
      <c r="BN520" s="3" t="s">
        <v>2113</v>
      </c>
    </row>
    <row r="521" spans="2:66" ht="13.0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2114</v>
      </c>
    </row>
    <row r="522" spans="2:66" ht="13.0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3.0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3.0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3.0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3.0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3.0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3.0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3.0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3.0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3.0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3.0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3.0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3.0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3.0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3.0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3.0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3.0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10</v>
      </c>
      <c r="AD538" s="1663"/>
      <c r="AE538" s="1663"/>
      <c r="AF538" s="1663"/>
      <c r="AG538" s="38" t="s">
        <v>402</v>
      </c>
      <c r="AH538" s="1403">
        <v>2025</v>
      </c>
      <c r="AI538" s="1403"/>
      <c r="AJ538" s="1403"/>
      <c r="AK538" s="1404"/>
      <c r="AZ538" s="3"/>
      <c r="BA538" s="3"/>
      <c r="BB538" s="3"/>
      <c r="BC538" s="3"/>
      <c r="BD538" s="3"/>
      <c r="BE538" s="3"/>
      <c r="BF538" s="3"/>
      <c r="BG538" s="3"/>
      <c r="BH538" s="3"/>
      <c r="BI538" s="3"/>
      <c r="BJ538" s="3"/>
      <c r="BK538" s="3"/>
      <c r="BL538" s="3"/>
      <c r="BM538" s="3"/>
      <c r="BN538" s="3"/>
    </row>
    <row r="539" spans="1:66" ht="13.05" customHeight="1">
      <c r="B539" s="1673"/>
      <c r="C539" s="1433"/>
      <c r="D539" s="1433"/>
      <c r="E539" s="1433"/>
      <c r="F539" s="1433"/>
      <c r="G539" s="1433"/>
      <c r="H539" s="1434"/>
      <c r="I539" t="s">
        <v>563</v>
      </c>
      <c r="AC539" s="1662">
        <v>9</v>
      </c>
      <c r="AD539" s="1663"/>
      <c r="AE539" s="1663"/>
      <c r="AF539" s="1663"/>
      <c r="AG539" s="13" t="s">
        <v>402</v>
      </c>
      <c r="AH539" s="1403">
        <v>2025</v>
      </c>
      <c r="AI539" s="1403"/>
      <c r="AJ539" s="1403"/>
      <c r="AK539" s="1404"/>
      <c r="AZ539" s="3"/>
      <c r="BA539" s="3"/>
      <c r="BB539" s="3"/>
      <c r="BC539" s="3"/>
      <c r="BD539" s="3"/>
      <c r="BE539" s="3"/>
      <c r="BF539" s="3"/>
      <c r="BG539" s="3"/>
      <c r="BH539" s="3"/>
      <c r="BI539" s="3"/>
      <c r="BJ539" s="3"/>
      <c r="BK539" s="3"/>
      <c r="BL539" s="3"/>
      <c r="BM539" s="3"/>
      <c r="BN539" s="3"/>
    </row>
    <row r="540" spans="1:66" ht="13.05" customHeight="1">
      <c r="B540" s="1673"/>
      <c r="C540" s="1433"/>
      <c r="D540" s="1433"/>
      <c r="E540" s="1433"/>
      <c r="F540" s="1433"/>
      <c r="G540" s="1433"/>
      <c r="H540" s="1434"/>
      <c r="I540" t="s">
        <v>564</v>
      </c>
      <c r="AC540" s="1662">
        <v>3</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3.05" customHeight="1">
      <c r="B541" s="1673"/>
      <c r="C541" s="1433"/>
      <c r="D541" s="1433"/>
      <c r="E541" s="1433"/>
      <c r="F541" s="1433"/>
      <c r="G541" s="1433"/>
      <c r="H541" s="1434"/>
      <c r="I541" t="s">
        <v>565</v>
      </c>
      <c r="AC541" s="1662">
        <v>3</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3.0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402</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0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0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05" customHeight="1">
      <c r="B554" s="51" t="s">
        <v>112</v>
      </c>
      <c r="C554" s="1693" t="s">
        <v>2686</v>
      </c>
      <c r="D554" s="1693"/>
      <c r="E554" s="1693"/>
      <c r="F554" s="1693"/>
      <c r="G554" s="1693"/>
      <c r="H554" s="1693"/>
      <c r="I554" s="1693"/>
      <c r="J554" s="1693"/>
      <c r="K554" s="1693"/>
      <c r="L554" s="1693"/>
      <c r="M554" s="1693" t="s">
        <v>2121</v>
      </c>
      <c r="N554" s="1693"/>
      <c r="O554" s="1693"/>
      <c r="P554" s="1693"/>
      <c r="Q554" s="1453">
        <v>30</v>
      </c>
      <c r="R554" s="1453"/>
      <c r="S554" s="1454"/>
      <c r="T554" s="1452"/>
      <c r="U554" s="1453"/>
      <c r="V554" s="1454"/>
      <c r="W554" s="1455">
        <v>6.5699999999999995E-2</v>
      </c>
      <c r="X554" s="1456"/>
      <c r="Y554" s="1457"/>
      <c r="Z554" s="1694" t="s">
        <v>2687</v>
      </c>
      <c r="AA554" s="1694"/>
      <c r="AB554" s="1694"/>
      <c r="AC554" s="1694"/>
      <c r="AD554" s="1694"/>
      <c r="AE554" s="1675">
        <v>1</v>
      </c>
      <c r="AF554" s="1676"/>
      <c r="AG554" s="1676"/>
      <c r="AH554" s="1677"/>
      <c r="AI554" s="1678"/>
      <c r="AJ554" s="1679"/>
      <c r="AK554" s="1679"/>
      <c r="AL554" s="1680"/>
      <c r="AM554" s="1668">
        <v>17975000</v>
      </c>
      <c r="AN554" s="1669"/>
      <c r="AO554" s="1669"/>
      <c r="AP554" s="1669"/>
      <c r="AQ554" s="1669"/>
      <c r="AR554" s="1669"/>
      <c r="AS554" s="1670"/>
      <c r="AT554" s="1150"/>
      <c r="AU554" s="1149"/>
      <c r="BB554" s="3"/>
      <c r="BC554" s="3"/>
      <c r="BD554" s="3"/>
      <c r="BE554" s="3"/>
      <c r="BF554" s="3"/>
      <c r="BG554" s="3"/>
      <c r="BH554" s="3"/>
      <c r="BI554" s="3"/>
    </row>
    <row r="555" spans="1:61" ht="13.05" customHeight="1">
      <c r="B555" s="52" t="s">
        <v>113</v>
      </c>
      <c r="C555" s="1681" t="str">
        <f>C554</f>
        <v>Citibank</v>
      </c>
      <c r="D555" s="1681"/>
      <c r="E555" s="1681"/>
      <c r="F555" s="1681"/>
      <c r="G555" s="1681"/>
      <c r="H555" s="1681"/>
      <c r="I555" s="1681"/>
      <c r="J555" s="1681"/>
      <c r="K555" s="1681"/>
      <c r="L555" s="1681"/>
      <c r="M555" s="1693" t="s">
        <v>2122</v>
      </c>
      <c r="N555" s="1693"/>
      <c r="O555" s="1693"/>
      <c r="P555" s="1693"/>
      <c r="Q555" s="1452">
        <v>30</v>
      </c>
      <c r="R555" s="1453"/>
      <c r="S555" s="1454"/>
      <c r="T555" s="1452"/>
      <c r="U555" s="1453"/>
      <c r="V555" s="1454"/>
      <c r="W555" s="1455">
        <f>W554</f>
        <v>6.5699999999999995E-2</v>
      </c>
      <c r="X555" s="1456"/>
      <c r="Y555" s="1457"/>
      <c r="Z555" s="1694" t="s">
        <v>2687</v>
      </c>
      <c r="AA555" s="1694"/>
      <c r="AB555" s="1694"/>
      <c r="AC555" s="1694"/>
      <c r="AD555" s="1694"/>
      <c r="AE555" s="1675">
        <v>1</v>
      </c>
      <c r="AF555" s="1676"/>
      <c r="AG555" s="1676"/>
      <c r="AH555" s="1677"/>
      <c r="AI555" s="1678"/>
      <c r="AJ555" s="1679"/>
      <c r="AK555" s="1679"/>
      <c r="AL555" s="1680"/>
      <c r="AM555" s="1668">
        <v>2800000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05" customHeight="1">
      <c r="B556" s="52" t="s">
        <v>119</v>
      </c>
      <c r="C556" s="1681" t="str">
        <f>C555</f>
        <v>Citibank</v>
      </c>
      <c r="D556" s="1681"/>
      <c r="E556" s="1681"/>
      <c r="F556" s="1681"/>
      <c r="G556" s="1681"/>
      <c r="H556" s="1681"/>
      <c r="I556" s="1681"/>
      <c r="J556" s="1681"/>
      <c r="K556" s="1681"/>
      <c r="L556" s="1681"/>
      <c r="M556" s="1693" t="s">
        <v>2115</v>
      </c>
      <c r="N556" s="1693"/>
      <c r="O556" s="1693"/>
      <c r="P556" s="1693"/>
      <c r="Q556" s="1452">
        <v>30</v>
      </c>
      <c r="R556" s="1453"/>
      <c r="S556" s="1454"/>
      <c r="T556" s="1452"/>
      <c r="U556" s="1453"/>
      <c r="V556" s="1454"/>
      <c r="W556" s="1455">
        <v>7.0699999999999999E-2</v>
      </c>
      <c r="X556" s="1456"/>
      <c r="Y556" s="1457"/>
      <c r="Z556" s="1694" t="s">
        <v>2687</v>
      </c>
      <c r="AA556" s="1694"/>
      <c r="AB556" s="1694"/>
      <c r="AC556" s="1694"/>
      <c r="AD556" s="1694"/>
      <c r="AE556" s="1675">
        <v>1</v>
      </c>
      <c r="AF556" s="1676"/>
      <c r="AG556" s="1676"/>
      <c r="AH556" s="1677"/>
      <c r="AI556" s="1678"/>
      <c r="AJ556" s="1679"/>
      <c r="AK556" s="1679"/>
      <c r="AL556" s="1680"/>
      <c r="AM556" s="1668">
        <v>4960000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05" customHeight="1">
      <c r="B557" s="52" t="s">
        <v>581</v>
      </c>
      <c r="C557" s="1681" t="s">
        <v>2688</v>
      </c>
      <c r="D557" s="1681"/>
      <c r="E557" s="1681"/>
      <c r="F557" s="1681"/>
      <c r="G557" s="1681"/>
      <c r="H557" s="1681"/>
      <c r="I557" s="1681"/>
      <c r="J557" s="1681"/>
      <c r="K557" s="1681"/>
      <c r="L557" s="1681"/>
      <c r="M557" s="1693" t="s">
        <v>2119</v>
      </c>
      <c r="N557" s="1693"/>
      <c r="O557" s="1693"/>
      <c r="P557" s="1693"/>
      <c r="Q557" s="1452">
        <f>55*12</f>
        <v>660</v>
      </c>
      <c r="R557" s="1453"/>
      <c r="S557" s="1454"/>
      <c r="T557" s="1452"/>
      <c r="U557" s="1453"/>
      <c r="V557" s="1454"/>
      <c r="W557" s="1455">
        <v>0.08</v>
      </c>
      <c r="X557" s="1456"/>
      <c r="Y557" s="1457"/>
      <c r="Z557" s="1694" t="s">
        <v>2689</v>
      </c>
      <c r="AA557" s="1694"/>
      <c r="AB557" s="1694"/>
      <c r="AC557" s="1694"/>
      <c r="AD557" s="1694"/>
      <c r="AE557" s="1675">
        <v>2</v>
      </c>
      <c r="AF557" s="1676"/>
      <c r="AG557" s="1676"/>
      <c r="AH557" s="1677"/>
      <c r="AI557" s="1678"/>
      <c r="AJ557" s="1679"/>
      <c r="AK557" s="1679"/>
      <c r="AL557" s="1680"/>
      <c r="AM557" s="1668">
        <f>3500000+'Sources and Uses Budget'!C13</f>
        <v>4235333</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05" customHeight="1">
      <c r="B558" s="52" t="s">
        <v>763</v>
      </c>
      <c r="C558" s="1681" t="str">
        <f>H287</f>
        <v>HVN Development LLC</v>
      </c>
      <c r="D558" s="1681"/>
      <c r="E558" s="1681"/>
      <c r="F558" s="1681"/>
      <c r="G558" s="1681"/>
      <c r="H558" s="1681"/>
      <c r="I558" s="1681"/>
      <c r="J558" s="1681"/>
      <c r="K558" s="1681"/>
      <c r="L558" s="1681"/>
      <c r="M558" s="1693" t="s">
        <v>2108</v>
      </c>
      <c r="N558" s="1693"/>
      <c r="O558" s="1693"/>
      <c r="P558" s="1693"/>
      <c r="Q558" s="1452">
        <v>180</v>
      </c>
      <c r="R558" s="1453"/>
      <c r="S558" s="1454"/>
      <c r="T558" s="1452"/>
      <c r="U558" s="1453"/>
      <c r="V558" s="1454"/>
      <c r="W558" s="1455">
        <f>W557</f>
        <v>0.08</v>
      </c>
      <c r="X558" s="1456"/>
      <c r="Y558" s="1457"/>
      <c r="Z558" s="1694" t="s">
        <v>2689</v>
      </c>
      <c r="AA558" s="1694"/>
      <c r="AB558" s="1694"/>
      <c r="AC558" s="1694"/>
      <c r="AD558" s="1694"/>
      <c r="AE558" s="1675"/>
      <c r="AF558" s="1676"/>
      <c r="AG558" s="1676"/>
      <c r="AH558" s="1677"/>
      <c r="AI558" s="1678"/>
      <c r="AJ558" s="1679"/>
      <c r="AK558" s="1679"/>
      <c r="AL558" s="1680"/>
      <c r="AM558" s="1668">
        <f>AO641-SUM(AM554:AS557,AM559:AM560)</f>
        <v>2593932.3500000015</v>
      </c>
      <c r="AN558" s="1669"/>
      <c r="AO558" s="1669"/>
      <c r="AP558" s="1669"/>
      <c r="AQ558" s="1669"/>
      <c r="AR558" s="1669"/>
      <c r="AS558" s="1670"/>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681" t="s">
        <v>2690</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f>0.15*AO640</f>
        <v>1758193.65</v>
      </c>
      <c r="AN559" s="1669"/>
      <c r="AO559" s="1669"/>
      <c r="AP559" s="1669"/>
      <c r="AQ559" s="1669"/>
      <c r="AR559" s="1669"/>
      <c r="AS559" s="1670"/>
      <c r="AT559" s="1150" t="str">
        <f t="shared" si="1"/>
        <v/>
      </c>
      <c r="AU559" s="1149"/>
      <c r="BB559" s="3"/>
      <c r="BC559" s="3"/>
      <c r="BD559" s="3"/>
      <c r="BE559" s="3"/>
      <c r="BF559" s="3"/>
      <c r="BG559" s="3"/>
      <c r="BH559" s="3" t="s">
        <v>584</v>
      </c>
      <c r="BI559" s="3" t="str">
        <f>AG665</f>
        <v>No</v>
      </c>
    </row>
    <row r="560" spans="1:61" ht="13.05" customHeight="1">
      <c r="B560" s="52" t="s">
        <v>455</v>
      </c>
      <c r="C560" s="1681" t="s">
        <v>2691</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f>'Sources and Uses Budget'!B77</f>
        <v>465931</v>
      </c>
      <c r="AN560" s="1669"/>
      <c r="AO560" s="1669"/>
      <c r="AP560" s="1669"/>
      <c r="AQ560" s="1669"/>
      <c r="AR560" s="1669"/>
      <c r="AS560" s="1670"/>
      <c r="AT560" s="1150" t="str">
        <f t="shared" si="1"/>
        <v/>
      </c>
      <c r="AU560" s="1149"/>
      <c r="BB560" s="3"/>
      <c r="BC560" s="3"/>
      <c r="BD560" s="3"/>
      <c r="BE560" s="3"/>
      <c r="BF560" s="3"/>
      <c r="BG560" s="3"/>
      <c r="BH560" s="3"/>
      <c r="BI560" s="3"/>
    </row>
    <row r="561" spans="1:61" ht="13.0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1"/>
        <v/>
      </c>
      <c r="AU561" s="1149"/>
      <c r="BB561" s="3"/>
      <c r="BC561" s="3"/>
      <c r="BD561" s="3"/>
      <c r="BE561" s="3"/>
      <c r="BF561" s="3"/>
      <c r="BG561" s="3"/>
      <c r="BH561" s="3"/>
      <c r="BI561" s="3"/>
    </row>
    <row r="562" spans="1:61" ht="13.0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1"/>
        <v/>
      </c>
      <c r="AU562" s="1149"/>
      <c r="BB562" s="3"/>
      <c r="BC562" s="3"/>
      <c r="BD562" s="3"/>
      <c r="BE562" s="3"/>
      <c r="BF562" s="3"/>
      <c r="BG562" s="3"/>
      <c r="BH562" s="3"/>
      <c r="BI562" s="3"/>
    </row>
    <row r="563" spans="1:61" ht="13.0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1"/>
        <v/>
      </c>
      <c r="BB563" s="3"/>
      <c r="BC563" s="3"/>
      <c r="BD563" s="3"/>
      <c r="BE563" s="3"/>
      <c r="BF563" s="3"/>
      <c r="BG563" s="3"/>
      <c r="BH563" s="3"/>
      <c r="BI563" s="3"/>
    </row>
    <row r="564" spans="1:61" ht="13.0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1"/>
        <v/>
      </c>
      <c r="BB564" s="3"/>
      <c r="BC564" s="3"/>
      <c r="BD564" s="3"/>
      <c r="BE564" s="3"/>
      <c r="BF564" s="3"/>
      <c r="BG564" s="3"/>
      <c r="BH564" s="3"/>
      <c r="BI564" s="3"/>
    </row>
    <row r="565" spans="1:61" ht="13.0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1"/>
        <v/>
      </c>
      <c r="BB565" s="3"/>
      <c r="BC565" s="3"/>
      <c r="BD565" s="3"/>
      <c r="BE565" s="3"/>
      <c r="BF565" s="3"/>
      <c r="BG565" s="3"/>
      <c r="BH565" s="3"/>
      <c r="BI565" s="3"/>
    </row>
    <row r="566" spans="1:61" ht="13.0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34788390</v>
      </c>
      <c r="AN566" s="1616"/>
      <c r="AO566" s="1616"/>
      <c r="AP566" s="1616"/>
      <c r="AQ566" s="1616"/>
      <c r="AR566" s="1616"/>
      <c r="AS566" s="1617"/>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359" t="str">
        <f>C554</f>
        <v>Citibank</v>
      </c>
      <c r="H568" s="1359"/>
      <c r="I568" s="1359"/>
      <c r="J568" s="1359"/>
      <c r="K568" s="1359"/>
      <c r="L568" s="1359"/>
      <c r="M568" s="1359"/>
      <c r="N568" s="1359"/>
      <c r="O568" s="1359"/>
      <c r="P568" s="1359"/>
      <c r="Q568" s="1359"/>
      <c r="R568" s="1359"/>
      <c r="S568" s="8"/>
      <c r="T568" s="55" t="s">
        <v>113</v>
      </c>
      <c r="U568" t="s">
        <v>463</v>
      </c>
      <c r="Z568" s="1359" t="str">
        <f>C555</f>
        <v>Citibank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05" customHeight="1">
      <c r="A569" s="22"/>
      <c r="B569" t="s">
        <v>85</v>
      </c>
      <c r="G569" s="1372" t="s">
        <v>2692</v>
      </c>
      <c r="H569" s="1372"/>
      <c r="I569" s="1372"/>
      <c r="J569" s="1372"/>
      <c r="K569" s="1372"/>
      <c r="L569" s="1372"/>
      <c r="M569" s="1372"/>
      <c r="N569" s="1372"/>
      <c r="O569" s="1372"/>
      <c r="P569" s="1372"/>
      <c r="Q569" s="1372"/>
      <c r="R569" s="1372"/>
      <c r="S569" s="8"/>
      <c r="T569" s="22"/>
      <c r="U569" t="s">
        <v>85</v>
      </c>
      <c r="Z569" s="1372" t="str">
        <f>G569</f>
        <v>325 E Hillcrest Dr STE 160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05" customHeight="1">
      <c r="A570" s="22"/>
      <c r="B570" t="s">
        <v>580</v>
      </c>
      <c r="G570" s="1372" t="s">
        <v>2693</v>
      </c>
      <c r="H570" s="1372"/>
      <c r="I570" s="1372"/>
      <c r="J570" s="1372"/>
      <c r="K570" s="1372"/>
      <c r="L570" s="1372"/>
      <c r="M570" s="1372"/>
      <c r="N570" s="1372"/>
      <c r="O570" s="1372"/>
      <c r="P570" s="1372"/>
      <c r="Q570" s="1372"/>
      <c r="R570" s="1372"/>
      <c r="T570" s="22"/>
      <c r="U570" t="s">
        <v>580</v>
      </c>
      <c r="Z570" s="1349" t="str">
        <f>G570</f>
        <v>Thousand Oaks, CA 91360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05" customHeight="1">
      <c r="A571" s="22"/>
      <c r="B571" t="s">
        <v>17</v>
      </c>
      <c r="G571" s="1372" t="s">
        <v>2694</v>
      </c>
      <c r="H571" s="1372"/>
      <c r="I571" s="1372"/>
      <c r="J571" s="1372"/>
      <c r="K571" s="1372"/>
      <c r="L571" s="1372"/>
      <c r="M571" s="1372"/>
      <c r="N571" s="1372"/>
      <c r="O571" s="1372"/>
      <c r="P571" s="1372"/>
      <c r="Q571" s="1372"/>
      <c r="R571" s="1372"/>
      <c r="S571" s="8"/>
      <c r="T571" s="22"/>
      <c r="U571" t="s">
        <v>17</v>
      </c>
      <c r="Z571" s="1349" t="str">
        <f>G571</f>
        <v>Mike Hemmens</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05" customHeight="1">
      <c r="A572" s="22"/>
      <c r="B572" t="s">
        <v>315</v>
      </c>
      <c r="G572" s="1347" t="s">
        <v>2695</v>
      </c>
      <c r="H572" s="1347"/>
      <c r="I572" s="1347"/>
      <c r="J572" s="1347"/>
      <c r="K572" s="1347"/>
      <c r="L572" s="1347"/>
      <c r="O572" s="33" t="s">
        <v>205</v>
      </c>
      <c r="P572" s="1437"/>
      <c r="Q572" s="1437"/>
      <c r="R572" s="1437"/>
      <c r="S572" s="10"/>
      <c r="T572" s="22"/>
      <c r="U572" t="s">
        <v>315</v>
      </c>
      <c r="Z572" s="1347" t="str">
        <f>G572</f>
        <v>805-557-0933</v>
      </c>
      <c r="AA572" s="1347"/>
      <c r="AB572" s="1347"/>
      <c r="AC572" s="1347"/>
      <c r="AD572" s="1347"/>
      <c r="AE572" s="1347"/>
      <c r="AH572" s="33" t="s">
        <v>205</v>
      </c>
      <c r="AI572" s="1437"/>
      <c r="AJ572" s="1437"/>
      <c r="AK572" s="1437"/>
      <c r="BB572" s="3"/>
      <c r="BC572" s="3"/>
      <c r="BD572" s="3"/>
      <c r="BE572" s="3"/>
      <c r="BF572" s="3"/>
      <c r="BG572" s="3"/>
      <c r="BH572" s="3"/>
      <c r="BI572" s="3"/>
    </row>
    <row r="573" spans="1:61" ht="13.05" customHeight="1">
      <c r="A573" s="22"/>
      <c r="B573" t="s">
        <v>18</v>
      </c>
      <c r="H573" s="1372" t="s">
        <v>2696</v>
      </c>
      <c r="I573" s="1372"/>
      <c r="J573" s="1372"/>
      <c r="K573" s="1372"/>
      <c r="L573" s="1372"/>
      <c r="M573" s="1372"/>
      <c r="N573" s="1372"/>
      <c r="O573" s="1372"/>
      <c r="P573" s="1372"/>
      <c r="Q573" s="1372"/>
      <c r="R573" s="1372"/>
      <c r="S573" s="8"/>
      <c r="T573" s="22"/>
      <c r="U573" t="s">
        <v>18</v>
      </c>
      <c r="AA573" s="1372" t="s">
        <v>2698</v>
      </c>
      <c r="AB573" s="1372"/>
      <c r="AC573" s="1372"/>
      <c r="AD573" s="1372"/>
      <c r="AE573" s="1372"/>
      <c r="AF573" s="1372"/>
      <c r="AG573" s="1372"/>
      <c r="AH573" s="1372"/>
      <c r="AI573" s="1372"/>
      <c r="AJ573" s="1372"/>
      <c r="AK573" s="1372"/>
      <c r="BB573" s="3"/>
      <c r="BC573" s="3"/>
      <c r="BD573" s="3"/>
      <c r="BE573" s="3"/>
      <c r="BF573" s="3"/>
      <c r="BG573" s="3"/>
      <c r="BH573" s="3"/>
      <c r="BI573" s="3"/>
    </row>
    <row r="574" spans="1:61" ht="13.05" customHeight="1">
      <c r="A574" s="22"/>
      <c r="B574" s="321" t="s">
        <v>1185</v>
      </c>
      <c r="H574" s="8"/>
      <c r="I574" s="8"/>
      <c r="J574" s="8"/>
      <c r="K574" s="8"/>
      <c r="L574" s="8"/>
      <c r="M574" s="1696" t="s">
        <v>2697</v>
      </c>
      <c r="N574" s="1696"/>
      <c r="O574" s="1696"/>
      <c r="P574" s="1696"/>
      <c r="Q574" s="1696"/>
      <c r="R574" s="1696"/>
      <c r="S574" s="8"/>
      <c r="T574" s="22"/>
      <c r="U574" s="321" t="s">
        <v>1185</v>
      </c>
      <c r="AA574" s="8"/>
      <c r="AB574" s="8"/>
      <c r="AC574" s="8"/>
      <c r="AD574" s="8"/>
      <c r="AE574" s="8"/>
      <c r="AF574" s="1696" t="s">
        <v>2697</v>
      </c>
      <c r="AG574" s="1696"/>
      <c r="AH574" s="1696"/>
      <c r="AI574" s="1696"/>
      <c r="AJ574" s="1696"/>
      <c r="AK574" s="1696"/>
      <c r="BB574" s="3"/>
      <c r="BC574" s="3"/>
      <c r="BD574" s="3"/>
      <c r="BE574" s="3"/>
      <c r="BF574" s="3"/>
      <c r="BG574" s="3"/>
      <c r="BH574" s="3"/>
      <c r="BI574" s="3"/>
    </row>
    <row r="575" spans="1:61" ht="13.05" customHeight="1">
      <c r="A575" s="22"/>
      <c r="B575" t="s">
        <v>20</v>
      </c>
      <c r="N575" s="1333" t="s">
        <v>545</v>
      </c>
      <c r="O575" s="1333"/>
      <c r="T575" s="22"/>
      <c r="U575" t="s">
        <v>20</v>
      </c>
      <c r="AG575" s="1333" t="s">
        <v>545</v>
      </c>
      <c r="AH575" s="1333"/>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359" t="str">
        <f>C556</f>
        <v>Citibank</v>
      </c>
      <c r="H577" s="1359"/>
      <c r="I577" s="1359"/>
      <c r="J577" s="1359"/>
      <c r="K577" s="1359"/>
      <c r="L577" s="1359"/>
      <c r="M577" s="1359"/>
      <c r="N577" s="1359"/>
      <c r="O577" s="1359"/>
      <c r="P577" s="1359"/>
      <c r="Q577" s="1359"/>
      <c r="R577" s="1359"/>
      <c r="T577" s="55" t="s">
        <v>581</v>
      </c>
      <c r="U577" t="s">
        <v>463</v>
      </c>
      <c r="Z577" s="1359" t="str">
        <f>C557</f>
        <v>HVN Holdings, LLC</v>
      </c>
      <c r="AA577" s="1359"/>
      <c r="AB577" s="1359"/>
      <c r="AC577" s="1359"/>
      <c r="AD577" s="1359"/>
      <c r="AE577" s="1359"/>
      <c r="AF577" s="1359"/>
      <c r="AG577" s="1359"/>
      <c r="AH577" s="1359"/>
      <c r="AI577" s="1359"/>
      <c r="AJ577" s="1359"/>
      <c r="AK577" s="1359"/>
      <c r="BB577" s="3"/>
      <c r="BC577" s="3"/>
    </row>
    <row r="578" spans="1:55" ht="13.05" customHeight="1">
      <c r="A578" s="22"/>
      <c r="B578" t="s">
        <v>85</v>
      </c>
      <c r="G578" s="1372" t="str">
        <f>G569</f>
        <v>325 E Hillcrest Dr STE 160</v>
      </c>
      <c r="H578" s="1372"/>
      <c r="I578" s="1372"/>
      <c r="J578" s="1372"/>
      <c r="K578" s="1372"/>
      <c r="L578" s="1372"/>
      <c r="M578" s="1372"/>
      <c r="N578" s="1372"/>
      <c r="O578" s="1372"/>
      <c r="P578" s="1372"/>
      <c r="Q578" s="1372"/>
      <c r="R578" s="1372"/>
      <c r="T578" s="22"/>
      <c r="U578" t="s">
        <v>85</v>
      </c>
      <c r="Z578" s="1372" t="s">
        <v>2619</v>
      </c>
      <c r="AA578" s="1372"/>
      <c r="AB578" s="1372"/>
      <c r="AC578" s="1372"/>
      <c r="AD578" s="1372"/>
      <c r="AE578" s="1372"/>
      <c r="AF578" s="1372"/>
      <c r="AG578" s="1372"/>
      <c r="AH578" s="1372"/>
      <c r="AI578" s="1372"/>
      <c r="AJ578" s="1372"/>
      <c r="AK578" s="1372"/>
      <c r="BB578" s="3"/>
      <c r="BC578" s="3"/>
    </row>
    <row r="579" spans="1:55" ht="13.05" customHeight="1">
      <c r="A579" s="22"/>
      <c r="B579" t="s">
        <v>580</v>
      </c>
      <c r="G579" s="1349" t="str">
        <f>G570</f>
        <v>Thousand Oaks, CA 91360</v>
      </c>
      <c r="H579" s="1349"/>
      <c r="I579" s="1349"/>
      <c r="J579" s="1349"/>
      <c r="K579" s="1349"/>
      <c r="L579" s="1349"/>
      <c r="M579" s="1349"/>
      <c r="N579" s="1349"/>
      <c r="O579" s="1349"/>
      <c r="P579" s="1349"/>
      <c r="Q579" s="1349"/>
      <c r="R579" s="1349"/>
      <c r="T579" s="22"/>
      <c r="U579" t="s">
        <v>580</v>
      </c>
      <c r="Z579" s="1349" t="s">
        <v>2636</v>
      </c>
      <c r="AA579" s="1349"/>
      <c r="AB579" s="1349"/>
      <c r="AC579" s="1349"/>
      <c r="AD579" s="1349"/>
      <c r="AE579" s="1349"/>
      <c r="AF579" s="1349"/>
      <c r="AG579" s="1349"/>
      <c r="AH579" s="1349"/>
      <c r="AI579" s="1349"/>
      <c r="AJ579" s="1349"/>
      <c r="AK579" s="1349"/>
      <c r="BB579" s="3"/>
      <c r="BC579" s="3"/>
    </row>
    <row r="580" spans="1:55" ht="13.05" customHeight="1">
      <c r="A580" s="22"/>
      <c r="B580" t="s">
        <v>17</v>
      </c>
      <c r="G580" s="1349" t="str">
        <f>G571</f>
        <v>Mike Hemmens</v>
      </c>
      <c r="H580" s="1349"/>
      <c r="I580" s="1349"/>
      <c r="J580" s="1349"/>
      <c r="K580" s="1349"/>
      <c r="L580" s="1349"/>
      <c r="M580" s="1349"/>
      <c r="N580" s="1349"/>
      <c r="O580" s="1349"/>
      <c r="P580" s="1349"/>
      <c r="Q580" s="1349"/>
      <c r="R580" s="1349"/>
      <c r="T580" s="22"/>
      <c r="U580" t="s">
        <v>17</v>
      </c>
      <c r="Z580" s="1349" t="s">
        <v>2621</v>
      </c>
      <c r="AA580" s="1349"/>
      <c r="AB580" s="1349"/>
      <c r="AC580" s="1349"/>
      <c r="AD580" s="1349"/>
      <c r="AE580" s="1349"/>
      <c r="AF580" s="1349"/>
      <c r="AG580" s="1349"/>
      <c r="AH580" s="1349"/>
      <c r="AI580" s="1349"/>
      <c r="AJ580" s="1349"/>
      <c r="AK580" s="1349"/>
      <c r="BB580" s="3"/>
      <c r="BC580" s="3"/>
    </row>
    <row r="581" spans="1:55" ht="13.05" customHeight="1">
      <c r="A581" s="22"/>
      <c r="B581" t="s">
        <v>315</v>
      </c>
      <c r="G581" s="1347" t="str">
        <f>G572</f>
        <v>805-557-0933</v>
      </c>
      <c r="H581" s="1347"/>
      <c r="I581" s="1347"/>
      <c r="J581" s="1347"/>
      <c r="K581" s="1347"/>
      <c r="L581" s="1347"/>
      <c r="O581" s="33" t="s">
        <v>205</v>
      </c>
      <c r="P581" s="1437"/>
      <c r="Q581" s="1437"/>
      <c r="R581" s="1437"/>
      <c r="T581" s="22"/>
      <c r="U581" t="s">
        <v>315</v>
      </c>
      <c r="Z581" s="1347" t="s">
        <v>2622</v>
      </c>
      <c r="AA581" s="1347"/>
      <c r="AB581" s="1347"/>
      <c r="AC581" s="1347"/>
      <c r="AD581" s="1347"/>
      <c r="AE581" s="1347"/>
      <c r="AH581" s="33" t="s">
        <v>205</v>
      </c>
      <c r="AI581" s="1437"/>
      <c r="AJ581" s="1437"/>
      <c r="AK581" s="1437"/>
      <c r="BB581" s="3"/>
      <c r="BC581" s="3"/>
    </row>
    <row r="582" spans="1:55" ht="13.05" customHeight="1">
      <c r="A582" s="22"/>
      <c r="B582" t="s">
        <v>18</v>
      </c>
      <c r="H582" s="1417" t="s">
        <v>2700</v>
      </c>
      <c r="I582" s="1372"/>
      <c r="J582" s="1372"/>
      <c r="K582" s="1372"/>
      <c r="L582" s="1372"/>
      <c r="M582" s="1372"/>
      <c r="N582" s="1372"/>
      <c r="O582" s="1372"/>
      <c r="P582" s="1372"/>
      <c r="Q582" s="1372"/>
      <c r="R582" s="1372"/>
      <c r="T582" s="22"/>
      <c r="U582" t="s">
        <v>18</v>
      </c>
      <c r="AA582" s="1372" t="s">
        <v>2699</v>
      </c>
      <c r="AB582" s="1372"/>
      <c r="AC582" s="1372"/>
      <c r="AD582" s="1372"/>
      <c r="AE582" s="1372"/>
      <c r="AF582" s="1372"/>
      <c r="AG582" s="1372"/>
      <c r="AH582" s="1372"/>
      <c r="AI582" s="1372"/>
      <c r="AJ582" s="1372"/>
      <c r="AK582" s="1372"/>
      <c r="BB582" s="3"/>
      <c r="BC582" s="3"/>
    </row>
    <row r="583" spans="1:55" ht="13.05" customHeight="1">
      <c r="A583" s="22"/>
      <c r="B583" t="s">
        <v>20</v>
      </c>
      <c r="N583" s="1333" t="s">
        <v>545</v>
      </c>
      <c r="O583" s="1333"/>
      <c r="T583" s="22"/>
      <c r="U583" t="s">
        <v>20</v>
      </c>
      <c r="AG583" s="1333" t="s">
        <v>545</v>
      </c>
      <c r="AH583" s="1333"/>
      <c r="BB583" s="3"/>
      <c r="BC583" s="3"/>
    </row>
    <row r="584" spans="1:55" ht="13.05" customHeight="1">
      <c r="A584" s="22"/>
      <c r="T584" s="22"/>
      <c r="BB584" s="3"/>
      <c r="BC584" s="3"/>
    </row>
    <row r="585" spans="1:55" ht="13.05" customHeight="1">
      <c r="A585" s="55" t="s">
        <v>763</v>
      </c>
      <c r="B585" t="s">
        <v>463</v>
      </c>
      <c r="G585" s="1359" t="str">
        <f>C558</f>
        <v>HVN Development LLC</v>
      </c>
      <c r="H585" s="1359"/>
      <c r="I585" s="1359"/>
      <c r="J585" s="1359"/>
      <c r="K585" s="1359"/>
      <c r="L585" s="1359"/>
      <c r="M585" s="1359"/>
      <c r="N585" s="1359"/>
      <c r="O585" s="1359"/>
      <c r="P585" s="1359"/>
      <c r="Q585" s="1359"/>
      <c r="R585" s="1359"/>
      <c r="T585" s="55" t="s">
        <v>584</v>
      </c>
      <c r="U585" t="s">
        <v>463</v>
      </c>
      <c r="Z585" s="1359" t="str">
        <f>C559</f>
        <v>LIHTC Equity</v>
      </c>
      <c r="AA585" s="1359"/>
      <c r="AB585" s="1359"/>
      <c r="AC585" s="1359"/>
      <c r="AD585" s="1359"/>
      <c r="AE585" s="1359"/>
      <c r="AF585" s="1359"/>
      <c r="AG585" s="1359"/>
      <c r="AH585" s="1359"/>
      <c r="AI585" s="1359"/>
      <c r="AJ585" s="1359"/>
      <c r="AK585" s="1359"/>
      <c r="BB585" s="3"/>
      <c r="BC585" s="3"/>
    </row>
    <row r="586" spans="1:55" ht="13.05" customHeight="1">
      <c r="A586" s="22"/>
      <c r="B586" t="s">
        <v>85</v>
      </c>
      <c r="G586" s="1372" t="s">
        <v>2619</v>
      </c>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3.05" customHeight="1">
      <c r="A587" s="22"/>
      <c r="B587" t="s">
        <v>580</v>
      </c>
      <c r="G587" s="1372" t="s">
        <v>2636</v>
      </c>
      <c r="H587" s="1372"/>
      <c r="I587" s="1372"/>
      <c r="J587" s="1372"/>
      <c r="K587" s="1372"/>
      <c r="L587" s="1372"/>
      <c r="M587" s="1372"/>
      <c r="N587" s="1372"/>
      <c r="O587" s="1372"/>
      <c r="P587" s="1372"/>
      <c r="Q587" s="1372"/>
      <c r="R587" s="1372"/>
      <c r="T587" s="22"/>
      <c r="U587" t="s">
        <v>580</v>
      </c>
      <c r="Z587" s="1349"/>
      <c r="AA587" s="1349"/>
      <c r="AB587" s="1349"/>
      <c r="AC587" s="1349"/>
      <c r="AD587" s="1349"/>
      <c r="AE587" s="1349"/>
      <c r="AF587" s="1349"/>
      <c r="AG587" s="1349"/>
      <c r="AH587" s="1349"/>
      <c r="AI587" s="1349"/>
      <c r="AJ587" s="1349"/>
      <c r="AK587" s="1349"/>
      <c r="BB587" s="3"/>
      <c r="BC587" s="3"/>
    </row>
    <row r="588" spans="1:55" ht="13.05" customHeight="1">
      <c r="A588" s="22"/>
      <c r="B588" t="s">
        <v>17</v>
      </c>
      <c r="G588" s="1372" t="s">
        <v>2621</v>
      </c>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3.05" customHeight="1">
      <c r="A589" s="22"/>
      <c r="B589" t="s">
        <v>315</v>
      </c>
      <c r="G589" s="1347" t="s">
        <v>2622</v>
      </c>
      <c r="H589" s="1347"/>
      <c r="I589" s="1347"/>
      <c r="J589" s="1347"/>
      <c r="K589" s="1347"/>
      <c r="L589" s="1347"/>
      <c r="O589" s="33" t="s">
        <v>205</v>
      </c>
      <c r="P589" s="1437"/>
      <c r="Q589" s="1437"/>
      <c r="R589" s="1437"/>
      <c r="T589" s="22"/>
      <c r="U589" t="s">
        <v>315</v>
      </c>
      <c r="Z589" s="1347"/>
      <c r="AA589" s="1347"/>
      <c r="AB589" s="1347"/>
      <c r="AC589" s="1347"/>
      <c r="AD589" s="1347"/>
      <c r="AE589" s="1347"/>
      <c r="AH589" s="33" t="s">
        <v>205</v>
      </c>
      <c r="AI589" s="1437"/>
      <c r="AJ589" s="1437"/>
      <c r="AK589" s="1437"/>
      <c r="AZ589" s="3"/>
      <c r="BA589" s="3"/>
      <c r="BB589" s="3"/>
      <c r="BC589" s="3"/>
    </row>
    <row r="590" spans="1:55" ht="13.05" customHeight="1">
      <c r="A590" s="22"/>
      <c r="B590" t="s">
        <v>18</v>
      </c>
      <c r="H590" s="1372" t="s">
        <v>2324</v>
      </c>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3.05" customHeight="1">
      <c r="A591" s="22"/>
      <c r="B591" t="s">
        <v>20</v>
      </c>
      <c r="N591" s="1333" t="s">
        <v>545</v>
      </c>
      <c r="O591" s="1333"/>
      <c r="T591" s="22"/>
      <c r="U591" t="s">
        <v>20</v>
      </c>
      <c r="AG591" s="1333" t="s">
        <v>669</v>
      </c>
      <c r="AH591" s="1333"/>
      <c r="AZ591" s="3"/>
      <c r="BA591" s="3"/>
      <c r="BB591" s="3"/>
      <c r="BC591" s="3"/>
    </row>
    <row r="592" spans="1:55" ht="13.05" customHeight="1">
      <c r="A592" s="22"/>
      <c r="T592" s="22"/>
      <c r="AZ592" s="3"/>
      <c r="BA592" s="3"/>
      <c r="BB592" s="3"/>
      <c r="BC592" s="3"/>
    </row>
    <row r="593" spans="1:55" ht="13.05" customHeight="1">
      <c r="A593" s="55" t="s">
        <v>455</v>
      </c>
      <c r="B593" t="s">
        <v>463</v>
      </c>
      <c r="G593" s="1359" t="str">
        <f>C560</f>
        <v>Reserves deferred to perm conversion</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0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347"/>
      <c r="H597" s="1347"/>
      <c r="I597" s="1347"/>
      <c r="J597" s="1347"/>
      <c r="K597" s="1347"/>
      <c r="L597" s="1347"/>
      <c r="M597"/>
      <c r="N597"/>
      <c r="O597" s="33" t="s">
        <v>205</v>
      </c>
      <c r="P597" s="1437"/>
      <c r="Q597" s="1437"/>
      <c r="R597" s="1437"/>
      <c r="S597"/>
      <c r="T597" s="22"/>
      <c r="U597" t="s">
        <v>315</v>
      </c>
      <c r="V597"/>
      <c r="W597"/>
      <c r="X597"/>
      <c r="Y597"/>
      <c r="Z597" s="1347"/>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05" customHeight="1">
      <c r="A599" s="22"/>
      <c r="B599" t="s">
        <v>20</v>
      </c>
      <c r="N599" s="1333" t="s">
        <v>545</v>
      </c>
      <c r="O599" s="1333"/>
      <c r="T599" s="22"/>
      <c r="U599" t="s">
        <v>20</v>
      </c>
      <c r="AG599" s="1333" t="s">
        <v>669</v>
      </c>
      <c r="AH599" s="1333"/>
      <c r="BB599" s="3"/>
      <c r="BC599" s="3"/>
    </row>
    <row r="600" spans="1:55" ht="13.05" customHeight="1">
      <c r="A600" s="22"/>
      <c r="T600" s="22"/>
      <c r="BB600" s="3"/>
      <c r="BC600" s="3"/>
    </row>
    <row r="601" spans="1:55" ht="13.0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3.0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0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0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05" customHeight="1">
      <c r="A605" s="22"/>
      <c r="B605" t="s">
        <v>315</v>
      </c>
      <c r="C605"/>
      <c r="D605"/>
      <c r="E605"/>
      <c r="F605"/>
      <c r="G605" s="1347"/>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0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0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0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0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3.0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05" customHeight="1">
      <c r="B615" t="s">
        <v>20</v>
      </c>
      <c r="N615" s="1333" t="s">
        <v>669</v>
      </c>
      <c r="O615" s="1333"/>
      <c r="U615" t="s">
        <v>20</v>
      </c>
      <c r="AG615" s="1333" t="s">
        <v>669</v>
      </c>
      <c r="AH615" s="1333"/>
      <c r="AU615" s="900"/>
      <c r="AV615" s="900"/>
      <c r="AW615" s="900"/>
      <c r="AX615" s="900"/>
      <c r="AY615" s="900"/>
      <c r="AZ615" s="3"/>
      <c r="BA615" s="3"/>
      <c r="BB615" s="3"/>
      <c r="BC615" s="3"/>
    </row>
    <row r="616" spans="1:55" ht="13.05" customHeight="1">
      <c r="AZ616" s="3"/>
      <c r="BA616" s="3"/>
      <c r="BB616" s="3"/>
      <c r="BC616" s="3"/>
    </row>
    <row r="617" spans="1:55" ht="13.0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0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700" t="s">
        <v>2104</v>
      </c>
      <c r="C624" s="1700"/>
      <c r="D624" s="1700"/>
      <c r="E624" s="1700"/>
      <c r="F624" s="1700"/>
      <c r="G624" s="1700"/>
      <c r="H624" s="1700"/>
      <c r="I624" s="1700"/>
      <c r="J624" s="1700"/>
      <c r="K624" s="1700"/>
      <c r="L624" s="1700"/>
      <c r="M624" s="1442" t="s">
        <v>2105</v>
      </c>
      <c r="N624" s="1442"/>
      <c r="O624" s="1442"/>
      <c r="P624" s="1442"/>
      <c r="Q624" s="1442" t="s">
        <v>1853</v>
      </c>
      <c r="R624" s="1442"/>
      <c r="S624" s="1442"/>
      <c r="T624" s="1442" t="s">
        <v>1851</v>
      </c>
      <c r="U624" s="1442"/>
      <c r="V624" s="1442"/>
      <c r="W624" s="1701" t="s">
        <v>453</v>
      </c>
      <c r="X624" s="1701"/>
      <c r="Y624" s="1701"/>
      <c r="Z624" s="1431" t="s">
        <v>2134</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3.0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0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05" customHeight="1">
      <c r="B627" s="51" t="s">
        <v>112</v>
      </c>
      <c r="C627" s="1692" t="str">
        <f>C554</f>
        <v>Citibank</v>
      </c>
      <c r="D627" s="1692"/>
      <c r="E627" s="1692"/>
      <c r="F627" s="1692"/>
      <c r="G627" s="1692"/>
      <c r="H627" s="1692"/>
      <c r="I627" s="1692"/>
      <c r="J627" s="1692"/>
      <c r="K627" s="1692"/>
      <c r="L627" s="1692"/>
      <c r="M627" s="1618" t="s">
        <v>2121</v>
      </c>
      <c r="N627" s="1618"/>
      <c r="O627" s="1618"/>
      <c r="P627" s="1618"/>
      <c r="Q627" s="1426">
        <f>12*18</f>
        <v>216</v>
      </c>
      <c r="R627" s="1426"/>
      <c r="S627" s="1427"/>
      <c r="T627" s="1425">
        <f>12*40</f>
        <v>480</v>
      </c>
      <c r="U627" s="1426"/>
      <c r="V627" s="1427"/>
      <c r="W627" s="1438">
        <v>6.5000000000000002E-2</v>
      </c>
      <c r="X627" s="1439"/>
      <c r="Y627" s="1440"/>
      <c r="Z627" s="1478" t="s">
        <v>2133</v>
      </c>
      <c r="AA627" s="1479"/>
      <c r="AB627" s="1480"/>
      <c r="AC627" s="1446">
        <v>1</v>
      </c>
      <c r="AD627" s="1447"/>
      <c r="AE627" s="1448"/>
      <c r="AF627" s="1475">
        <f>-12*PMT(W627/12,T627,AO627)</f>
        <v>1248849.6307068907</v>
      </c>
      <c r="AG627" s="1476"/>
      <c r="AH627" s="1476"/>
      <c r="AI627" s="1476"/>
      <c r="AJ627" s="1477"/>
      <c r="AK627" s="1428"/>
      <c r="AL627" s="1429"/>
      <c r="AM627" s="1429"/>
      <c r="AN627" s="1430"/>
      <c r="AO627" s="1481">
        <v>17776000</v>
      </c>
      <c r="AP627" s="1481"/>
      <c r="AQ627" s="1481"/>
      <c r="AR627" s="1481"/>
      <c r="AS627" s="1481"/>
      <c r="AT627" s="3"/>
      <c r="AU627" s="3"/>
      <c r="AZ627" s="3"/>
      <c r="BA627" s="3"/>
      <c r="BB627" s="3"/>
      <c r="BC627" s="3"/>
      <c r="BD627" s="3"/>
    </row>
    <row r="628" spans="2:157" ht="13.05" customHeight="1">
      <c r="B628" s="52" t="s">
        <v>113</v>
      </c>
      <c r="C628" s="1692" t="str">
        <f>C555</f>
        <v>Citibank</v>
      </c>
      <c r="D628" s="1692"/>
      <c r="E628" s="1692"/>
      <c r="F628" s="1692"/>
      <c r="G628" s="1692"/>
      <c r="H628" s="1692"/>
      <c r="I628" s="1692"/>
      <c r="J628" s="1692"/>
      <c r="K628" s="1692"/>
      <c r="L628" s="1692"/>
      <c r="M628" s="1618" t="s">
        <v>2122</v>
      </c>
      <c r="N628" s="1618"/>
      <c r="O628" s="1618"/>
      <c r="P628" s="1618"/>
      <c r="Q628" s="1425">
        <f>12*18</f>
        <v>216</v>
      </c>
      <c r="R628" s="1426"/>
      <c r="S628" s="1427"/>
      <c r="T628" s="1425">
        <v>480</v>
      </c>
      <c r="U628" s="1426"/>
      <c r="V628" s="1427"/>
      <c r="W628" s="1438">
        <f>W627</f>
        <v>6.5000000000000002E-2</v>
      </c>
      <c r="X628" s="1439"/>
      <c r="Y628" s="1440"/>
      <c r="Z628" s="1478" t="s">
        <v>2133</v>
      </c>
      <c r="AA628" s="1479"/>
      <c r="AB628" s="1480"/>
      <c r="AC628" s="1446">
        <v>1</v>
      </c>
      <c r="AD628" s="1447"/>
      <c r="AE628" s="1448"/>
      <c r="AF628" s="1475">
        <f>-12*PMT(W628/12,T628,AO628)</f>
        <v>0</v>
      </c>
      <c r="AG628" s="1476"/>
      <c r="AH628" s="1476"/>
      <c r="AI628" s="1476"/>
      <c r="AJ628" s="1477"/>
      <c r="AK628" s="1428"/>
      <c r="AL628" s="1429"/>
      <c r="AM628" s="1429"/>
      <c r="AN628" s="1430"/>
      <c r="AO628" s="1466">
        <v>0</v>
      </c>
      <c r="AP628" s="1467"/>
      <c r="AQ628" s="1467"/>
      <c r="AR628" s="1467"/>
      <c r="AS628" s="1468"/>
      <c r="AT628" s="1150" t="str">
        <f>IF(AND(NOT(C627=""),C628="",NOT(C629="")),"!","")</f>
        <v/>
      </c>
      <c r="AU628" s="3"/>
      <c r="AZ628" s="3"/>
      <c r="BA628" s="3"/>
      <c r="BB628" s="3"/>
      <c r="BC628" s="3"/>
      <c r="BD628" s="3"/>
    </row>
    <row r="629" spans="2:157" ht="13.05" customHeight="1">
      <c r="B629" s="52" t="s">
        <v>119</v>
      </c>
      <c r="C629" s="1692" t="str">
        <f>C557</f>
        <v>HVN Holdings, LLC</v>
      </c>
      <c r="D629" s="1692"/>
      <c r="E629" s="1692"/>
      <c r="F629" s="1692"/>
      <c r="G629" s="1692"/>
      <c r="H629" s="1692"/>
      <c r="I629" s="1692"/>
      <c r="J629" s="1692"/>
      <c r="K629" s="1692"/>
      <c r="L629" s="1692"/>
      <c r="M629" s="1618" t="s">
        <v>2119</v>
      </c>
      <c r="N629" s="1618"/>
      <c r="O629" s="1618"/>
      <c r="P629" s="1618"/>
      <c r="Q629" s="1425">
        <v>660</v>
      </c>
      <c r="R629" s="1426"/>
      <c r="S629" s="1427"/>
      <c r="T629" s="1425"/>
      <c r="U629" s="1426"/>
      <c r="V629" s="1427"/>
      <c r="W629" s="1438">
        <v>0.08</v>
      </c>
      <c r="X629" s="1439"/>
      <c r="Y629" s="1440"/>
      <c r="Z629" s="1478" t="s">
        <v>457</v>
      </c>
      <c r="AA629" s="1479"/>
      <c r="AB629" s="1480"/>
      <c r="AC629" s="1446">
        <v>2</v>
      </c>
      <c r="AD629" s="1447"/>
      <c r="AE629" s="1448"/>
      <c r="AF629" s="1475"/>
      <c r="AG629" s="1476"/>
      <c r="AH629" s="1476"/>
      <c r="AI629" s="1476"/>
      <c r="AJ629" s="1477"/>
      <c r="AK629" s="1428"/>
      <c r="AL629" s="1429"/>
      <c r="AM629" s="1429"/>
      <c r="AN629" s="1430"/>
      <c r="AO629" s="1466">
        <f>AM557</f>
        <v>4235333</v>
      </c>
      <c r="AP629" s="1467"/>
      <c r="AQ629" s="1467"/>
      <c r="AR629" s="1467"/>
      <c r="AS629" s="1468"/>
      <c r="AT629" s="1150" t="str">
        <f t="shared" ref="AT629:AT638" si="2">IF(AND(NOT(C628=""),C629="",NOT(C630="")),"!","")</f>
        <v/>
      </c>
      <c r="AU629" s="3"/>
      <c r="AZ629" s="3"/>
      <c r="BA629" s="3"/>
      <c r="BB629" s="3"/>
      <c r="BC629" s="3"/>
      <c r="BD629" s="3"/>
    </row>
    <row r="630" spans="2:157" ht="13.05" customHeight="1">
      <c r="B630" s="52" t="s">
        <v>581</v>
      </c>
      <c r="C630" s="1348" t="str">
        <f>C558</f>
        <v>HVN Development LLC</v>
      </c>
      <c r="D630" s="1348"/>
      <c r="E630" s="1348"/>
      <c r="F630" s="1348"/>
      <c r="G630" s="1348"/>
      <c r="H630" s="1348"/>
      <c r="I630" s="1348"/>
      <c r="J630" s="1348"/>
      <c r="K630" s="1348"/>
      <c r="L630" s="1348"/>
      <c r="M630" s="1618" t="s">
        <v>2108</v>
      </c>
      <c r="N630" s="1618"/>
      <c r="O630" s="1618"/>
      <c r="P630" s="1618"/>
      <c r="Q630" s="1425">
        <v>180</v>
      </c>
      <c r="R630" s="1426"/>
      <c r="S630" s="1427"/>
      <c r="T630" s="1425"/>
      <c r="U630" s="1426"/>
      <c r="V630" s="1427"/>
      <c r="W630" s="1438">
        <f>W629</f>
        <v>0.08</v>
      </c>
      <c r="X630" s="1439"/>
      <c r="Y630" s="1440"/>
      <c r="Z630" s="1478" t="s">
        <v>457</v>
      </c>
      <c r="AA630" s="1479"/>
      <c r="AB630" s="1480"/>
      <c r="AC630" s="1446"/>
      <c r="AD630" s="1447"/>
      <c r="AE630" s="1448"/>
      <c r="AF630" s="1475"/>
      <c r="AG630" s="1476"/>
      <c r="AH630" s="1476"/>
      <c r="AI630" s="1476"/>
      <c r="AJ630" s="1477"/>
      <c r="AK630" s="1428"/>
      <c r="AL630" s="1429"/>
      <c r="AM630" s="1429"/>
      <c r="AN630" s="1430"/>
      <c r="AO630" s="1466">
        <f>'Sources and Uses Budget'!B105-AO640-AO627-AO628-AO629</f>
        <v>1055766</v>
      </c>
      <c r="AP630" s="1467"/>
      <c r="AQ630" s="1467"/>
      <c r="AR630" s="1467"/>
      <c r="AS630" s="1468"/>
      <c r="AT630" s="1150" t="str">
        <f t="shared" si="2"/>
        <v/>
      </c>
      <c r="AU630" s="3"/>
      <c r="AZ630" s="3"/>
      <c r="BA630" s="3"/>
      <c r="BB630" s="3"/>
      <c r="BC630" s="3"/>
      <c r="BD630" s="3"/>
    </row>
    <row r="631" spans="2:157" ht="13.05" customHeight="1">
      <c r="B631" s="52" t="s">
        <v>763</v>
      </c>
      <c r="C631" s="1348"/>
      <c r="D631" s="1348"/>
      <c r="E631" s="1348"/>
      <c r="F631" s="1348"/>
      <c r="G631" s="1348"/>
      <c r="H631" s="1348"/>
      <c r="I631" s="1348"/>
      <c r="J631" s="1348"/>
      <c r="K631" s="1348"/>
      <c r="L631" s="1348"/>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50" t="str">
        <f t="shared" si="2"/>
        <v/>
      </c>
      <c r="AU631" s="3"/>
      <c r="AZ631" s="3"/>
      <c r="BA631" s="3"/>
      <c r="BB631" s="3"/>
      <c r="BC631" s="3"/>
      <c r="BD631" s="3"/>
    </row>
    <row r="632" spans="2:157" ht="13.05" customHeight="1">
      <c r="B632" s="52" t="s">
        <v>584</v>
      </c>
      <c r="C632" s="1348"/>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2"/>
        <v/>
      </c>
      <c r="AU632" s="3"/>
      <c r="AZ632" s="3"/>
      <c r="BA632" s="3"/>
      <c r="BB632" s="3"/>
      <c r="BC632" s="3"/>
      <c r="BD632" s="3"/>
    </row>
    <row r="633" spans="2:157" ht="13.0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2"/>
        <v/>
      </c>
      <c r="AU633" s="3"/>
      <c r="AV633" s="3"/>
      <c r="AW633" s="3"/>
      <c r="AX633" s="3"/>
      <c r="AY633" s="3"/>
      <c r="AZ633" s="3"/>
      <c r="BA633" s="3"/>
      <c r="BB633" s="3"/>
      <c r="BC633" s="3"/>
      <c r="BD633" s="3"/>
    </row>
    <row r="634" spans="2:157" ht="13.0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2"/>
        <v/>
      </c>
      <c r="AU634" s="3"/>
      <c r="AV634" s="3"/>
      <c r="AW634" s="3"/>
      <c r="AX634" s="3"/>
      <c r="AY634" s="3"/>
      <c r="AZ634" s="3"/>
      <c r="BA634" s="3" t="s">
        <v>1184</v>
      </c>
      <c r="BB634" s="3"/>
      <c r="BC634" s="3"/>
      <c r="BD634" s="3"/>
    </row>
    <row r="635" spans="2:157" ht="13.0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3">EZ718*(CP718/$CP$753)</f>
        <v>#VALUE!</v>
      </c>
      <c r="DY635" s="1445"/>
      <c r="DZ635" s="1445"/>
      <c r="EA635" s="1445"/>
      <c r="EB635" s="1445"/>
      <c r="EC635" s="1445" t="e">
        <f t="shared" ref="EC635:EC669" si="4">FE718*(CU718/$CU$753)</f>
        <v>#VALUE!</v>
      </c>
      <c r="ED635" s="1445"/>
      <c r="EE635" s="1445"/>
      <c r="EF635" s="1445"/>
      <c r="EG635" s="1445"/>
      <c r="EH635" s="1445">
        <f t="shared" ref="EH635:EH669" si="5">FJ718*(CZ718/$CZ$753)</f>
        <v>95.841584158415841</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3.0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3"/>
        <v>#VALUE!</v>
      </c>
      <c r="DY636" s="1445"/>
      <c r="DZ636" s="1445"/>
      <c r="EA636" s="1445"/>
      <c r="EB636" s="1445"/>
      <c r="EC636" s="1445" t="e">
        <f t="shared" si="4"/>
        <v>#VALUE!</v>
      </c>
      <c r="ED636" s="1445"/>
      <c r="EE636" s="1445"/>
      <c r="EF636" s="1445"/>
      <c r="EG636" s="1445"/>
      <c r="EH636" s="1445">
        <f t="shared" si="5"/>
        <v>163.80198019801981</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3.0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3"/>
        <v>#VALUE!</v>
      </c>
      <c r="DY637" s="1445"/>
      <c r="DZ637" s="1445"/>
      <c r="EA637" s="1445"/>
      <c r="EB637" s="1445"/>
      <c r="EC637" s="1445" t="e">
        <f t="shared" si="4"/>
        <v>#VALUE!</v>
      </c>
      <c r="ED637" s="1445"/>
      <c r="EE637" s="1445"/>
      <c r="EF637" s="1445"/>
      <c r="EG637" s="1445"/>
      <c r="EH637" s="1445">
        <f t="shared" si="5"/>
        <v>629.30693069306926</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3.0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3"/>
        <v>#VALUE!</v>
      </c>
      <c r="DY638" s="1445"/>
      <c r="DZ638" s="1445"/>
      <c r="EA638" s="1445"/>
      <c r="EB638" s="1445"/>
      <c r="EC638" s="1445" t="e">
        <f t="shared" si="4"/>
        <v>#VALUE!</v>
      </c>
      <c r="ED638" s="1445"/>
      <c r="EE638" s="1445"/>
      <c r="EF638" s="1445"/>
      <c r="EG638" s="1445"/>
      <c r="EH638" s="1445">
        <f t="shared" si="5"/>
        <v>815.08910891089113</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3.0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23067099</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t="e">
        <f t="shared" si="4"/>
        <v>#VALUE!</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3.0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11721291</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t="e">
        <f t="shared" si="4"/>
        <v>#VALUE!</v>
      </c>
      <c r="ED640" s="1445"/>
      <c r="EE640" s="1445"/>
      <c r="EF640" s="1445"/>
      <c r="EG640" s="1445"/>
      <c r="EH640" s="1445" t="e">
        <f t="shared" si="5"/>
        <v>#VALUE!</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3.0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34788390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t="e">
        <f t="shared" si="4"/>
        <v>#VALUE!</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t="e">
        <f t="shared" si="4"/>
        <v>#VALUE!</v>
      </c>
      <c r="ED642" s="1445"/>
      <c r="EE642" s="1445"/>
      <c r="EF642" s="1445"/>
      <c r="EG642" s="1445"/>
      <c r="EH642" s="1445" t="e">
        <f t="shared" si="5"/>
        <v>#VALUE!</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3.05" customHeight="1">
      <c r="A643" s="55" t="s">
        <v>112</v>
      </c>
      <c r="B643" t="s">
        <v>463</v>
      </c>
      <c r="G643" s="1359" t="str">
        <f>C627</f>
        <v>Citibank</v>
      </c>
      <c r="H643" s="1359"/>
      <c r="I643" s="1359"/>
      <c r="J643" s="1359"/>
      <c r="K643" s="1359"/>
      <c r="L643" s="1359"/>
      <c r="M643" s="1359"/>
      <c r="N643" s="1359"/>
      <c r="O643" s="1359"/>
      <c r="P643" s="1359"/>
      <c r="Q643" s="1359"/>
      <c r="R643" s="1359"/>
      <c r="S643" s="8"/>
      <c r="T643" s="55" t="s">
        <v>113</v>
      </c>
      <c r="U643" t="s">
        <v>463</v>
      </c>
      <c r="Z643" s="1359" t="str">
        <f>C628</f>
        <v>Citibank</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t="e">
        <f t="shared" si="4"/>
        <v>#VALUE!</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3.05" customHeight="1">
      <c r="A644" s="22"/>
      <c r="B644" t="s">
        <v>85</v>
      </c>
      <c r="G644" s="1372" t="str">
        <f>G569</f>
        <v>325 E Hillcrest Dr STE 160</v>
      </c>
      <c r="H644" s="1372"/>
      <c r="I644" s="1372"/>
      <c r="J644" s="1372"/>
      <c r="K644" s="1372"/>
      <c r="L644" s="1372"/>
      <c r="M644" s="1372"/>
      <c r="N644" s="1372"/>
      <c r="O644" s="1372"/>
      <c r="P644" s="1372"/>
      <c r="Q644" s="1372"/>
      <c r="R644" s="1372"/>
      <c r="S644" s="8"/>
      <c r="T644" s="22"/>
      <c r="U644" t="s">
        <v>85</v>
      </c>
      <c r="Z644" s="1372" t="str">
        <f>G644</f>
        <v>325 E Hillcrest Dr STE 160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3.05" customHeight="1">
      <c r="A645" s="22"/>
      <c r="B645" t="s">
        <v>580</v>
      </c>
      <c r="G645" s="1372" t="str">
        <f>G570</f>
        <v>Thousand Oaks, CA 91360</v>
      </c>
      <c r="H645" s="1372"/>
      <c r="I645" s="1372"/>
      <c r="J645" s="1372"/>
      <c r="K645" s="1372"/>
      <c r="L645" s="1372"/>
      <c r="M645" s="1372"/>
      <c r="N645" s="1372"/>
      <c r="O645" s="1372"/>
      <c r="P645" s="1372"/>
      <c r="Q645" s="1372"/>
      <c r="R645" s="1372"/>
      <c r="T645" s="22"/>
      <c r="U645" t="s">
        <v>580</v>
      </c>
      <c r="Z645" s="1349" t="str">
        <f>G645</f>
        <v>Thousand Oaks, CA 91360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t="e">
        <f t="shared" si="5"/>
        <v>#VALUE!</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3.05" customHeight="1">
      <c r="A646" s="22"/>
      <c r="B646" t="s">
        <v>17</v>
      </c>
      <c r="G646" s="1372" t="str">
        <f>G571</f>
        <v>Mike Hemmens</v>
      </c>
      <c r="H646" s="1372"/>
      <c r="I646" s="1372"/>
      <c r="J646" s="1372"/>
      <c r="K646" s="1372"/>
      <c r="L646" s="1372"/>
      <c r="M646" s="1372"/>
      <c r="N646" s="1372"/>
      <c r="O646" s="1372"/>
      <c r="P646" s="1372"/>
      <c r="Q646" s="1372"/>
      <c r="R646" s="1372"/>
      <c r="S646" s="8"/>
      <c r="T646" s="22"/>
      <c r="U646" t="s">
        <v>17</v>
      </c>
      <c r="Z646" s="1349" t="str">
        <f>G646</f>
        <v>Mike Hemmens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t="e">
        <f t="shared" si="5"/>
        <v>#VALUE!</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3.05" customHeight="1">
      <c r="A647" s="22"/>
      <c r="B647" t="s">
        <v>315</v>
      </c>
      <c r="G647" s="1347" t="str">
        <f>G572</f>
        <v>805-557-0933</v>
      </c>
      <c r="H647" s="1347"/>
      <c r="I647" s="1347"/>
      <c r="J647" s="1347"/>
      <c r="K647" s="1347"/>
      <c r="L647" s="1347"/>
      <c r="O647" s="33" t="s">
        <v>205</v>
      </c>
      <c r="P647" s="1437"/>
      <c r="Q647" s="1437"/>
      <c r="R647" s="1437"/>
      <c r="S647" s="10"/>
      <c r="T647" s="22"/>
      <c r="U647" t="s">
        <v>315</v>
      </c>
      <c r="Z647" s="1347" t="str">
        <f>G647</f>
        <v>805-557-0933</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t="e">
        <f t="shared" si="5"/>
        <v>#VALUE!</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3.05" customHeight="1">
      <c r="A648" s="22"/>
      <c r="B648" t="s">
        <v>18</v>
      </c>
      <c r="H648" s="1372" t="str">
        <f>H573</f>
        <v>Tax Exempt bonds (new issue)</v>
      </c>
      <c r="I648" s="1372"/>
      <c r="J648" s="1372"/>
      <c r="K648" s="1372"/>
      <c r="L648" s="1372"/>
      <c r="M648" s="1372"/>
      <c r="N648" s="1372"/>
      <c r="O648" s="1372"/>
      <c r="P648" s="1372"/>
      <c r="Q648" s="1372"/>
      <c r="R648" s="1372"/>
      <c r="S648" s="8"/>
      <c r="T648" s="22"/>
      <c r="U648" t="s">
        <v>18</v>
      </c>
      <c r="AA648" s="1372" t="str">
        <f>AA573</f>
        <v>Tax Exempt bonds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3.0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3.05"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3.05" customHeight="1">
      <c r="A651" s="55" t="s">
        <v>119</v>
      </c>
      <c r="B651" t="s">
        <v>463</v>
      </c>
      <c r="G651" s="1359" t="str">
        <f>C629</f>
        <v>HVN Holdings, LLC</v>
      </c>
      <c r="H651" s="1359"/>
      <c r="I651" s="1359"/>
      <c r="J651" s="1359"/>
      <c r="K651" s="1359"/>
      <c r="L651" s="1359"/>
      <c r="M651" s="1359"/>
      <c r="N651" s="1359"/>
      <c r="O651" s="1359"/>
      <c r="P651" s="1359"/>
      <c r="Q651" s="1359"/>
      <c r="R651" s="1359"/>
      <c r="T651" s="55" t="s">
        <v>581</v>
      </c>
      <c r="U651" t="s">
        <v>463</v>
      </c>
      <c r="Z651" s="1359" t="str">
        <f>C630</f>
        <v>HVN Development LLC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3.05" customHeight="1">
      <c r="A652" s="22"/>
      <c r="B652" t="s">
        <v>85</v>
      </c>
      <c r="G652" s="1372" t="str">
        <f>Z578</f>
        <v>7700 Irvine Center Drive, Suite 780</v>
      </c>
      <c r="H652" s="1372"/>
      <c r="I652" s="1372"/>
      <c r="J652" s="1372"/>
      <c r="K652" s="1372"/>
      <c r="L652" s="1372"/>
      <c r="M652" s="1372"/>
      <c r="N652" s="1372"/>
      <c r="O652" s="1372"/>
      <c r="P652" s="1372"/>
      <c r="Q652" s="1372"/>
      <c r="R652" s="1372"/>
      <c r="T652" s="22"/>
      <c r="U652" t="s">
        <v>85</v>
      </c>
      <c r="Z652" s="1372" t="str">
        <f>G652</f>
        <v>7700 Irvine Center Drive, Suite 780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3.05" customHeight="1">
      <c r="A653" s="22"/>
      <c r="B653" t="s">
        <v>580</v>
      </c>
      <c r="G653" s="1349" t="str">
        <f>Z579</f>
        <v>Irvine, CA 92618</v>
      </c>
      <c r="H653" s="1349"/>
      <c r="I653" s="1349"/>
      <c r="J653" s="1349"/>
      <c r="K653" s="1349"/>
      <c r="L653" s="1349"/>
      <c r="M653" s="1349"/>
      <c r="N653" s="1349"/>
      <c r="O653" s="1349"/>
      <c r="P653" s="1349"/>
      <c r="Q653" s="1349"/>
      <c r="R653" s="1349"/>
      <c r="T653" s="22"/>
      <c r="U653" t="s">
        <v>580</v>
      </c>
      <c r="Z653" s="1349" t="str">
        <f>G653</f>
        <v>Irvine, CA 92618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3.05" customHeight="1">
      <c r="A654" s="22"/>
      <c r="B654" t="s">
        <v>17</v>
      </c>
      <c r="G654" s="1349" t="str">
        <f>Z580</f>
        <v>Tommy Beadel</v>
      </c>
      <c r="H654" s="1349"/>
      <c r="I654" s="1349"/>
      <c r="J654" s="1349"/>
      <c r="K654" s="1349"/>
      <c r="L654" s="1349"/>
      <c r="M654" s="1349"/>
      <c r="N654" s="1349"/>
      <c r="O654" s="1349"/>
      <c r="P654" s="1349"/>
      <c r="Q654" s="1349"/>
      <c r="R654" s="1349"/>
      <c r="T654" s="22"/>
      <c r="U654" t="s">
        <v>17</v>
      </c>
      <c r="Z654" s="1349" t="str">
        <f>G654</f>
        <v>Tommy Beadel</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3.05" customHeight="1">
      <c r="A655" s="22"/>
      <c r="B655" t="s">
        <v>315</v>
      </c>
      <c r="G655" s="1347" t="str">
        <f>Z581</f>
        <v>949-979-0833</v>
      </c>
      <c r="H655" s="1347"/>
      <c r="I655" s="1347"/>
      <c r="J655" s="1347"/>
      <c r="K655" s="1347"/>
      <c r="L655" s="1347"/>
      <c r="O655" s="33" t="s">
        <v>205</v>
      </c>
      <c r="P655" s="1437"/>
      <c r="Q655" s="1437"/>
      <c r="R655" s="1437"/>
      <c r="T655" s="22"/>
      <c r="U655" t="s">
        <v>315</v>
      </c>
      <c r="Z655" s="1347" t="str">
        <f>G655</f>
        <v>949-979-0833</v>
      </c>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3.05" customHeight="1">
      <c r="A656" s="22"/>
      <c r="B656" t="s">
        <v>18</v>
      </c>
      <c r="H656" s="1372" t="str">
        <f>AA582</f>
        <v>GP affiliate loan - land carryback</v>
      </c>
      <c r="I656" s="1372"/>
      <c r="J656" s="1372"/>
      <c r="K656" s="1372"/>
      <c r="L656" s="1372"/>
      <c r="M656" s="1372"/>
      <c r="N656" s="1372"/>
      <c r="O656" s="1372"/>
      <c r="P656" s="1372"/>
      <c r="Q656" s="1372"/>
      <c r="R656" s="1372"/>
      <c r="T656" s="22"/>
      <c r="U656" t="s">
        <v>18</v>
      </c>
      <c r="AA656" s="1372" t="str">
        <f>H590</f>
        <v>Deferred Developer Fee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3.0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3.05"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3.0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3.0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3.0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3.0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3.05" customHeight="1">
      <c r="A663" s="22"/>
      <c r="B663" t="s">
        <v>315</v>
      </c>
      <c r="G663" s="1347"/>
      <c r="H663" s="1347"/>
      <c r="I663" s="1347"/>
      <c r="J663" s="1347"/>
      <c r="K663" s="1347"/>
      <c r="L663" s="1347"/>
      <c r="O663" s="33" t="s">
        <v>205</v>
      </c>
      <c r="P663" s="1437"/>
      <c r="Q663" s="1437"/>
      <c r="R663" s="1437"/>
      <c r="T663" s="22"/>
      <c r="U663" t="s">
        <v>315</v>
      </c>
      <c r="Z663" s="1347"/>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3.0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3.05" customHeight="1">
      <c r="A665" s="22"/>
      <c r="B665" t="s">
        <v>20</v>
      </c>
      <c r="N665" s="1333" t="s">
        <v>669</v>
      </c>
      <c r="O665" s="1333"/>
      <c r="T665" s="22"/>
      <c r="U665" t="s">
        <v>20</v>
      </c>
      <c r="AG665" s="1333" t="s">
        <v>669</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3.0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3.0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3.0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3.0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0</v>
      </c>
      <c r="ED670" s="1445"/>
      <c r="EE670" s="1445"/>
      <c r="EF670" s="1445"/>
      <c r="EG670" s="1445"/>
      <c r="EH670" s="1445">
        <f>SUMIF(EH635:EL669,"&gt;0")</f>
        <v>1704.0396039603961</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05" customHeight="1">
      <c r="A671" s="22"/>
      <c r="B671" t="s">
        <v>315</v>
      </c>
      <c r="G671" s="1347"/>
      <c r="H671" s="1347"/>
      <c r="I671" s="1347"/>
      <c r="J671" s="1347"/>
      <c r="K671" s="1347"/>
      <c r="L671" s="1347"/>
      <c r="O671" s="33" t="s">
        <v>205</v>
      </c>
      <c r="P671" s="1437"/>
      <c r="Q671" s="1437"/>
      <c r="R671" s="1437"/>
      <c r="T671" s="22"/>
      <c r="U671" t="s">
        <v>315</v>
      </c>
      <c r="Z671" s="1347"/>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33" t="s">
        <v>669</v>
      </c>
      <c r="O673" s="1333"/>
      <c r="T673" s="22"/>
      <c r="U673" t="s">
        <v>20</v>
      </c>
      <c r="AG673" s="1333" t="s">
        <v>669</v>
      </c>
      <c r="AH673" s="1333"/>
      <c r="AZ673" s="3"/>
    </row>
    <row r="674" spans="1:52" ht="13.05" customHeight="1">
      <c r="A674" s="22"/>
      <c r="T674" s="22"/>
      <c r="AZ674" s="3"/>
    </row>
    <row r="675" spans="1:52" ht="13.0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3.0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0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0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05" customHeight="1">
      <c r="A679" s="22"/>
      <c r="B679" t="s">
        <v>315</v>
      </c>
      <c r="G679" s="1347"/>
      <c r="H679" s="1347"/>
      <c r="I679" s="1347"/>
      <c r="J679" s="1347"/>
      <c r="K679" s="1347"/>
      <c r="L679" s="1347"/>
      <c r="O679" s="33" t="s">
        <v>205</v>
      </c>
      <c r="P679" s="1437"/>
      <c r="Q679" s="1437"/>
      <c r="R679" s="1437"/>
      <c r="T679" s="22"/>
      <c r="U679" t="s">
        <v>315</v>
      </c>
      <c r="Z679" s="1347"/>
      <c r="AA679" s="1347"/>
      <c r="AB679" s="1347"/>
      <c r="AC679" s="1347"/>
      <c r="AD679" s="1347"/>
      <c r="AE679" s="1347"/>
      <c r="AH679" s="33" t="s">
        <v>205</v>
      </c>
      <c r="AI679" s="1437"/>
      <c r="AJ679" s="1437"/>
      <c r="AK679" s="1437"/>
      <c r="AZ679" s="3"/>
    </row>
    <row r="680" spans="1:52" ht="13.0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05" customHeight="1">
      <c r="A681" s="22"/>
      <c r="B681" t="s">
        <v>20</v>
      </c>
      <c r="N681" s="1333" t="s">
        <v>669</v>
      </c>
      <c r="O681" s="1333"/>
      <c r="T681" s="22"/>
      <c r="U681" t="s">
        <v>20</v>
      </c>
      <c r="AG681" s="1333" t="s">
        <v>669</v>
      </c>
      <c r="AH681" s="1333"/>
      <c r="AZ681" s="3"/>
    </row>
    <row r="682" spans="1:52" ht="13.05" customHeight="1">
      <c r="A682" s="22"/>
      <c r="T682" s="22"/>
      <c r="AZ682" s="3"/>
    </row>
    <row r="683" spans="1:52" ht="13.0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0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0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0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0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3.0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05" customHeight="1">
      <c r="B689" t="s">
        <v>20</v>
      </c>
      <c r="N689" s="1333" t="s">
        <v>669</v>
      </c>
      <c r="O689" s="1333"/>
      <c r="U689" t="s">
        <v>20</v>
      </c>
      <c r="AG689" s="1333" t="s">
        <v>669</v>
      </c>
      <c r="AH689" s="1333"/>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333" t="s">
        <v>545</v>
      </c>
      <c r="AF693" s="1333"/>
      <c r="AZ693" s="3"/>
    </row>
    <row r="694" spans="1:67" ht="13.05" customHeight="1">
      <c r="B694" s="135"/>
      <c r="C694" s="135"/>
      <c r="D694" s="136" t="s">
        <v>437</v>
      </c>
      <c r="E694" s="135"/>
      <c r="F694" s="135"/>
      <c r="G694" s="135"/>
      <c r="H694" s="135"/>
      <c r="AE694" s="1333" t="s">
        <v>669</v>
      </c>
      <c r="AF694" s="1333"/>
      <c r="AZ694" s="3"/>
    </row>
    <row r="695" spans="1:67" ht="13.05" customHeight="1">
      <c r="B695" s="135"/>
      <c r="C695" s="135"/>
      <c r="D695" s="136" t="s">
        <v>920</v>
      </c>
      <c r="E695" s="135"/>
      <c r="F695" s="135"/>
      <c r="G695" s="135"/>
      <c r="H695" s="135"/>
      <c r="AE695" s="1691">
        <v>45685</v>
      </c>
      <c r="AF695" s="1691"/>
      <c r="AG695" s="1691"/>
      <c r="AH695" s="1691"/>
      <c r="AI695" s="1691"/>
    </row>
    <row r="696" spans="1:67" ht="13.05" customHeight="1">
      <c r="B696" s="135"/>
      <c r="C696" s="135"/>
      <c r="D696" s="318" t="s">
        <v>983</v>
      </c>
      <c r="E696" s="135"/>
      <c r="F696" s="135"/>
      <c r="G696" s="135"/>
      <c r="H696" s="135"/>
      <c r="AE696" s="1702">
        <v>45755</v>
      </c>
      <c r="AF696" s="1702"/>
      <c r="AG696" s="1702"/>
      <c r="AH696" s="1702"/>
      <c r="AI696" s="1702"/>
    </row>
    <row r="697" spans="1:67" ht="13.05" customHeight="1">
      <c r="B697" s="135"/>
      <c r="C697" s="135"/>
    </row>
    <row r="698" spans="1:67" ht="13.05" customHeight="1">
      <c r="B698" s="135"/>
      <c r="C698" s="135"/>
      <c r="D698" s="136" t="s">
        <v>816</v>
      </c>
      <c r="E698" s="135"/>
      <c r="F698" s="135"/>
      <c r="G698" s="135"/>
      <c r="H698" s="135"/>
      <c r="AE698" s="1691">
        <v>45931</v>
      </c>
      <c r="AF698" s="1691"/>
      <c r="AG698" s="1691"/>
      <c r="AH698" s="1691"/>
      <c r="AI698" s="1691"/>
    </row>
    <row r="699" spans="1:67" ht="13.05" customHeight="1">
      <c r="B699" s="135"/>
      <c r="C699" s="135"/>
      <c r="D699" s="136" t="s">
        <v>435</v>
      </c>
      <c r="E699" s="135"/>
      <c r="F699" s="135"/>
      <c r="G699" s="135"/>
      <c r="H699" s="135"/>
      <c r="AE699" s="1661">
        <v>0.54979999999999996</v>
      </c>
      <c r="AF699" s="1661"/>
      <c r="AG699" s="1661"/>
      <c r="AH699" s="1661"/>
      <c r="AI699" s="1661"/>
    </row>
    <row r="700" spans="1:67" ht="13.05" customHeight="1">
      <c r="B700" s="135"/>
      <c r="C700" s="135"/>
      <c r="D700" s="136" t="s">
        <v>436</v>
      </c>
      <c r="E700" s="135"/>
      <c r="F700" s="135"/>
      <c r="G700" s="135"/>
      <c r="H700" s="135"/>
      <c r="W700" s="1359" t="str">
        <f>H335</f>
        <v>CA Municipal Finance Authority</v>
      </c>
      <c r="X700" s="1359"/>
      <c r="Y700" s="1359"/>
      <c r="Z700" s="1359"/>
      <c r="AA700" s="1359"/>
      <c r="AB700" s="1359"/>
      <c r="AC700" s="1359"/>
      <c r="AD700" s="1359"/>
      <c r="AE700" s="1359"/>
      <c r="AF700" s="1359"/>
      <c r="AG700" s="1359"/>
      <c r="AH700" s="1359"/>
      <c r="AI700" s="1359"/>
      <c r="AJ700" s="1359"/>
      <c r="AK700" s="1359"/>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333" t="s">
        <v>669</v>
      </c>
      <c r="AF702" s="1333"/>
      <c r="AZ702" s="4" t="s">
        <v>323</v>
      </c>
    </row>
    <row r="703" spans="1:67" ht="13.0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0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0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363" t="s">
        <v>388</v>
      </c>
      <c r="C714" s="1364"/>
      <c r="D714" s="1364"/>
      <c r="E714" s="1364"/>
      <c r="F714" s="1365"/>
      <c r="G714" s="1363" t="s">
        <v>284</v>
      </c>
      <c r="H714" s="1364"/>
      <c r="I714" s="1364"/>
      <c r="J714" s="1365"/>
      <c r="K714" s="1719" t="s">
        <v>1679</v>
      </c>
      <c r="L714" s="1720"/>
      <c r="M714" s="1720"/>
      <c r="N714" s="1721"/>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3.05" customHeight="1">
      <c r="A718" s="4"/>
      <c r="B718" s="1338" t="s">
        <v>163</v>
      </c>
      <c r="C718" s="1339"/>
      <c r="D718" s="1339"/>
      <c r="E718" s="1339"/>
      <c r="F718" s="1340"/>
      <c r="G718" s="1350">
        <v>11</v>
      </c>
      <c r="H718" s="1351"/>
      <c r="I718" s="1351"/>
      <c r="J718" s="1352"/>
      <c r="K718" s="1344">
        <v>507</v>
      </c>
      <c r="L718" s="1345"/>
      <c r="M718" s="1345"/>
      <c r="N718" s="1346"/>
      <c r="O718" s="1341">
        <f>936-T718</f>
        <v>880</v>
      </c>
      <c r="P718" s="1342"/>
      <c r="Q718" s="1342"/>
      <c r="R718" s="1342"/>
      <c r="S718" s="1343"/>
      <c r="T718" s="1341">
        <f>U832</f>
        <v>56</v>
      </c>
      <c r="U718" s="1342"/>
      <c r="V718" s="1342"/>
      <c r="W718" s="1343"/>
      <c r="X718" s="1353">
        <f t="shared" ref="X718:X741" si="9">O718+T718</f>
        <v>936</v>
      </c>
      <c r="Y718" s="1354"/>
      <c r="Z718" s="1354"/>
      <c r="AA718" s="1354"/>
      <c r="AB718" s="1355"/>
      <c r="AC718" s="1360">
        <v>0.3</v>
      </c>
      <c r="AD718" s="1361"/>
      <c r="AE718" s="1361"/>
      <c r="AF718" s="1361"/>
      <c r="AG718" s="1362"/>
      <c r="AH718" s="1356">
        <f>IF($AC718&gt;0,($X718/$AZ718), "")</f>
        <v>0.3</v>
      </c>
      <c r="AI718" s="1357"/>
      <c r="AJ718" s="1358"/>
      <c r="AK718" s="1338" t="s">
        <v>591</v>
      </c>
      <c r="AL718" s="1339"/>
      <c r="AM718" s="1339"/>
      <c r="AN718" s="1339"/>
      <c r="AO718" s="1340"/>
      <c r="AP718" s="3"/>
      <c r="AQ718" s="3"/>
      <c r="AR718" s="3"/>
      <c r="AS718" s="3"/>
      <c r="AZ718" s="118">
        <f t="shared" ref="AZ718:AZ752" si="10">IF($G718=0,"N/A",VLOOKUP($T$189,TC_Rent,(MATCH($B718,bedrooms,FALSE)),FALSE))</f>
        <v>3120</v>
      </c>
      <c r="BA718" s="3"/>
      <c r="BB718" s="3"/>
      <c r="BC718" s="3"/>
      <c r="BD718" s="3"/>
      <c r="BE718" s="205"/>
      <c r="BF718" s="294">
        <f t="shared" ref="BF718:BF752" si="11">G718</f>
        <v>11</v>
      </c>
      <c r="BG718" s="298">
        <f t="shared" ref="BG718:BG752" si="12">IF($BF$753=0,0,BF718/$BF$753)</f>
        <v>0.10891089108910891</v>
      </c>
      <c r="BH718" s="299">
        <f t="shared" ref="BH718:BH752" si="13">IF(BG718=0,"",BG718*AC718)</f>
        <v>3.2673267326732675E-2</v>
      </c>
      <c r="BI718" s="3"/>
      <c r="BJ718" s="3"/>
      <c r="BK718" s="3"/>
      <c r="BL718" s="3"/>
      <c r="BM718" s="3"/>
      <c r="BN718" s="3"/>
      <c r="BS718" s="294">
        <f t="shared" ref="BS718:BS752" si="14">G718</f>
        <v>11</v>
      </c>
      <c r="BT718" s="298">
        <f t="shared" ref="BT718:BT752" si="15">IF($BS$753=0,0,BS718/$BS$753)</f>
        <v>0.10891089108910891</v>
      </c>
      <c r="BU718" s="299">
        <f t="shared" ref="BU718:BU752" si="16">IF(BT718=0,"",BT718*AH718)</f>
        <v>3.2673267326732675E-2</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11</v>
      </c>
      <c r="CN718" s="1470"/>
      <c r="CO718" s="3"/>
      <c r="CP718" s="1458">
        <f t="shared" ref="CP718:CP752" si="19">IF(B718="SRO/Studio",G718,0)</f>
        <v>0</v>
      </c>
      <c r="CQ718" s="1459"/>
      <c r="CR718" s="1459"/>
      <c r="CS718" s="1459"/>
      <c r="CT718" s="1460"/>
      <c r="CU718" s="1443">
        <f t="shared" ref="CU718:CU752" si="20">IF(B718="1 Bedroom",G718,0)</f>
        <v>0</v>
      </c>
      <c r="CV718" s="1443"/>
      <c r="CW718" s="1443"/>
      <c r="CX718" s="1443"/>
      <c r="CY718" s="1443"/>
      <c r="CZ718" s="1443">
        <f t="shared" ref="CZ718:CZ752" si="21">IF(B718="2 Bedrooms",G718,0)</f>
        <v>11</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0</v>
      </c>
      <c r="EA718" s="1444"/>
      <c r="EB718" s="1444"/>
      <c r="EC718" s="1444"/>
      <c r="ED718" s="1444"/>
      <c r="EE718" s="1444">
        <f t="shared" ref="EE718:EE752" si="27">IF(AND(B718="2 Bedrooms",AC718&lt;=0.3),G718,0)</f>
        <v>11</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t="str">
        <f t="shared" ref="FE718:FE752" si="32">IF(CU718&gt;0,O718,"")</f>
        <v/>
      </c>
      <c r="FF718" s="1465"/>
      <c r="FG718" s="1465"/>
      <c r="FH718" s="1465"/>
      <c r="FI718" s="1464"/>
      <c r="FJ718" s="1463">
        <f t="shared" ref="FJ718:FJ752" si="33">IF(CZ718&gt;0,O718,"")</f>
        <v>880</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3.05" customHeight="1">
      <c r="A719" s="4"/>
      <c r="B719" s="1338" t="s">
        <v>163</v>
      </c>
      <c r="C719" s="1339"/>
      <c r="D719" s="1339"/>
      <c r="E719" s="1339"/>
      <c r="F719" s="1340"/>
      <c r="G719" s="1350">
        <v>11</v>
      </c>
      <c r="H719" s="1351"/>
      <c r="I719" s="1351"/>
      <c r="J719" s="1352"/>
      <c r="K719" s="1344">
        <f>K718</f>
        <v>507</v>
      </c>
      <c r="L719" s="1345"/>
      <c r="M719" s="1345"/>
      <c r="N719" s="1346"/>
      <c r="O719" s="1341">
        <f>1560-T719</f>
        <v>1504</v>
      </c>
      <c r="P719" s="1342"/>
      <c r="Q719" s="1342"/>
      <c r="R719" s="1342"/>
      <c r="S719" s="1343"/>
      <c r="T719" s="1341">
        <f>T718</f>
        <v>56</v>
      </c>
      <c r="U719" s="1342"/>
      <c r="V719" s="1342"/>
      <c r="W719" s="1343"/>
      <c r="X719" s="1353">
        <f t="shared" si="9"/>
        <v>1560</v>
      </c>
      <c r="Y719" s="1354"/>
      <c r="Z719" s="1354"/>
      <c r="AA719" s="1354"/>
      <c r="AB719" s="1355"/>
      <c r="AC719" s="1360">
        <v>0.5</v>
      </c>
      <c r="AD719" s="1361"/>
      <c r="AE719" s="1361"/>
      <c r="AF719" s="1361"/>
      <c r="AG719" s="1362"/>
      <c r="AH719" s="1356">
        <f t="shared" ref="AH719:AH752" si="37">IF($AC719&gt;0,($X719/$AZ719), "")</f>
        <v>0.5</v>
      </c>
      <c r="AI719" s="1357"/>
      <c r="AJ719" s="1358"/>
      <c r="AK719" s="1338" t="s">
        <v>591</v>
      </c>
      <c r="AL719" s="1339"/>
      <c r="AM719" s="1339"/>
      <c r="AN719" s="1339"/>
      <c r="AO719" s="1340"/>
      <c r="AP719" s="3"/>
      <c r="AQ719" s="3"/>
      <c r="AR719" s="3"/>
      <c r="AS719" s="3"/>
      <c r="AZ719" s="118">
        <f t="shared" si="10"/>
        <v>3120</v>
      </c>
      <c r="BA719" s="3"/>
      <c r="BB719" s="3"/>
      <c r="BC719" s="3"/>
      <c r="BD719" s="3"/>
      <c r="BE719" s="205"/>
      <c r="BF719" s="295">
        <f t="shared" si="11"/>
        <v>11</v>
      </c>
      <c r="BG719" s="298">
        <f t="shared" si="12"/>
        <v>0.10891089108910891</v>
      </c>
      <c r="BH719" s="299">
        <f t="shared" si="13"/>
        <v>5.4455445544554455E-2</v>
      </c>
      <c r="BI719" s="3"/>
      <c r="BJ719" s="3"/>
      <c r="BK719" s="3"/>
      <c r="BL719" s="3"/>
      <c r="BM719" s="3"/>
      <c r="BN719" s="3"/>
      <c r="BS719" s="295">
        <f t="shared" si="14"/>
        <v>11</v>
      </c>
      <c r="BT719" s="298">
        <f t="shared" si="15"/>
        <v>0.10891089108910891</v>
      </c>
      <c r="BU719" s="299">
        <f t="shared" si="16"/>
        <v>5.4455445544554455E-2</v>
      </c>
      <c r="CC719" s="3"/>
      <c r="CD719" s="3"/>
      <c r="CE719" s="3"/>
      <c r="CF719" s="3"/>
      <c r="CG719" s="1463">
        <f t="shared" ref="CG719:CG752" si="38">IF(AND(AC719&lt;=0.5,AC719&gt;=0.36),1,0)</f>
        <v>1</v>
      </c>
      <c r="CH719" s="1464"/>
      <c r="CI719" s="1469">
        <f t="shared" ref="CI719:CI752" si="39">IF(CG719=1,G719,0)</f>
        <v>11</v>
      </c>
      <c r="CJ719" s="1470"/>
      <c r="CK719" s="1463">
        <f t="shared" si="17"/>
        <v>0</v>
      </c>
      <c r="CL719" s="1464"/>
      <c r="CM719" s="1469">
        <f t="shared" si="18"/>
        <v>0</v>
      </c>
      <c r="CN719" s="1470"/>
      <c r="CO719" s="3"/>
      <c r="CP719" s="1458">
        <f t="shared" si="19"/>
        <v>0</v>
      </c>
      <c r="CQ719" s="1459"/>
      <c r="CR719" s="1459"/>
      <c r="CS719" s="1459"/>
      <c r="CT719" s="1460"/>
      <c r="CU719" s="1443">
        <f t="shared" si="20"/>
        <v>0</v>
      </c>
      <c r="CV719" s="1443"/>
      <c r="CW719" s="1443"/>
      <c r="CX719" s="1443"/>
      <c r="CY719" s="1443"/>
      <c r="CZ719" s="1443">
        <f t="shared" si="21"/>
        <v>11</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0</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t="str">
        <f t="shared" si="32"/>
        <v/>
      </c>
      <c r="FF719" s="1465"/>
      <c r="FG719" s="1465"/>
      <c r="FH719" s="1465"/>
      <c r="FI719" s="1464"/>
      <c r="FJ719" s="1463">
        <f t="shared" si="33"/>
        <v>1504</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3.05" customHeight="1">
      <c r="A720" s="4"/>
      <c r="B720" s="1338" t="s">
        <v>163</v>
      </c>
      <c r="C720" s="1339"/>
      <c r="D720" s="1339"/>
      <c r="E720" s="1339"/>
      <c r="F720" s="1340"/>
      <c r="G720" s="1350">
        <v>35</v>
      </c>
      <c r="H720" s="1351"/>
      <c r="I720" s="1351"/>
      <c r="J720" s="1352"/>
      <c r="K720" s="1344">
        <f>K719</f>
        <v>507</v>
      </c>
      <c r="L720" s="1345"/>
      <c r="M720" s="1345"/>
      <c r="N720" s="1346"/>
      <c r="O720" s="1341">
        <f>1872-T720</f>
        <v>1816</v>
      </c>
      <c r="P720" s="1342"/>
      <c r="Q720" s="1342"/>
      <c r="R720" s="1342"/>
      <c r="S720" s="1343"/>
      <c r="T720" s="1341">
        <f>T719</f>
        <v>56</v>
      </c>
      <c r="U720" s="1342"/>
      <c r="V720" s="1342"/>
      <c r="W720" s="1343"/>
      <c r="X720" s="1353">
        <f t="shared" si="9"/>
        <v>1872</v>
      </c>
      <c r="Y720" s="1354"/>
      <c r="Z720" s="1354"/>
      <c r="AA720" s="1354"/>
      <c r="AB720" s="1355"/>
      <c r="AC720" s="1360">
        <v>0.6</v>
      </c>
      <c r="AD720" s="1361"/>
      <c r="AE720" s="1361"/>
      <c r="AF720" s="1361"/>
      <c r="AG720" s="1362"/>
      <c r="AH720" s="1356">
        <f t="shared" si="37"/>
        <v>0.6</v>
      </c>
      <c r="AI720" s="1357"/>
      <c r="AJ720" s="1358"/>
      <c r="AK720" s="1338" t="s">
        <v>591</v>
      </c>
      <c r="AL720" s="1339"/>
      <c r="AM720" s="1339"/>
      <c r="AN720" s="1339"/>
      <c r="AO720" s="1340"/>
      <c r="AP720" s="3"/>
      <c r="AQ720" s="3"/>
      <c r="AR720" s="3"/>
      <c r="AS720" s="3"/>
      <c r="AZ720" s="118">
        <f t="shared" si="10"/>
        <v>3120</v>
      </c>
      <c r="BA720" s="3"/>
      <c r="BB720" s="3"/>
      <c r="BC720" s="3"/>
      <c r="BD720" s="3"/>
      <c r="BE720" s="205"/>
      <c r="BF720" s="295">
        <f t="shared" si="11"/>
        <v>35</v>
      </c>
      <c r="BG720" s="298">
        <f t="shared" si="12"/>
        <v>0.34653465346534651</v>
      </c>
      <c r="BH720" s="299">
        <f t="shared" si="13"/>
        <v>0.20792079207920791</v>
      </c>
      <c r="BI720" s="3"/>
      <c r="BJ720" s="3"/>
      <c r="BK720" s="3"/>
      <c r="BL720" s="3"/>
      <c r="BM720" s="3"/>
      <c r="BN720" s="3"/>
      <c r="BS720" s="295">
        <f t="shared" si="14"/>
        <v>35</v>
      </c>
      <c r="BT720" s="298">
        <f t="shared" si="15"/>
        <v>0.34653465346534651</v>
      </c>
      <c r="BU720" s="299">
        <f t="shared" si="16"/>
        <v>0.20792079207920791</v>
      </c>
      <c r="CC720" s="3"/>
      <c r="CD720" s="3"/>
      <c r="CE720" s="3"/>
      <c r="CF720" s="3"/>
      <c r="CG720" s="1463">
        <f t="shared" si="38"/>
        <v>0</v>
      </c>
      <c r="CH720" s="1464"/>
      <c r="CI720" s="1469">
        <f t="shared" si="39"/>
        <v>0</v>
      </c>
      <c r="CJ720" s="1470"/>
      <c r="CK720" s="1463">
        <f t="shared" si="17"/>
        <v>0</v>
      </c>
      <c r="CL720" s="1464"/>
      <c r="CM720" s="1469">
        <f t="shared" si="18"/>
        <v>0</v>
      </c>
      <c r="CN720" s="1470"/>
      <c r="CO720" s="3"/>
      <c r="CP720" s="1458">
        <f t="shared" si="19"/>
        <v>0</v>
      </c>
      <c r="CQ720" s="1459"/>
      <c r="CR720" s="1459"/>
      <c r="CS720" s="1459"/>
      <c r="CT720" s="1460"/>
      <c r="CU720" s="1443">
        <f t="shared" si="20"/>
        <v>0</v>
      </c>
      <c r="CV720" s="1443"/>
      <c r="CW720" s="1443"/>
      <c r="CX720" s="1443"/>
      <c r="CY720" s="1443"/>
      <c r="CZ720" s="1443">
        <f t="shared" si="21"/>
        <v>35</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t="str">
        <f t="shared" si="32"/>
        <v/>
      </c>
      <c r="FF720" s="1465"/>
      <c r="FG720" s="1465"/>
      <c r="FH720" s="1465"/>
      <c r="FI720" s="1464"/>
      <c r="FJ720" s="1463">
        <f t="shared" si="33"/>
        <v>1816</v>
      </c>
      <c r="FK720" s="1465"/>
      <c r="FL720" s="1465"/>
      <c r="FM720" s="1465"/>
      <c r="FN720" s="1464"/>
      <c r="FO720" s="1463" t="str">
        <f t="shared" si="34"/>
        <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3.05" customHeight="1">
      <c r="B721" s="1338" t="s">
        <v>163</v>
      </c>
      <c r="C721" s="1339"/>
      <c r="D721" s="1339"/>
      <c r="E721" s="1339"/>
      <c r="F721" s="1340"/>
      <c r="G721" s="1350">
        <v>44</v>
      </c>
      <c r="H721" s="1351"/>
      <c r="I721" s="1351"/>
      <c r="J721" s="1352"/>
      <c r="K721" s="1344">
        <f>K720</f>
        <v>507</v>
      </c>
      <c r="L721" s="1345"/>
      <c r="M721" s="1345"/>
      <c r="N721" s="1346"/>
      <c r="O721" s="1341">
        <v>1871</v>
      </c>
      <c r="P721" s="1342"/>
      <c r="Q721" s="1342"/>
      <c r="R721" s="1342"/>
      <c r="S721" s="1343"/>
      <c r="T721" s="1341">
        <f>T720</f>
        <v>56</v>
      </c>
      <c r="U721" s="1342"/>
      <c r="V721" s="1342"/>
      <c r="W721" s="1343"/>
      <c r="X721" s="1353">
        <f t="shared" si="9"/>
        <v>1927</v>
      </c>
      <c r="Y721" s="1354"/>
      <c r="Z721" s="1354"/>
      <c r="AA721" s="1354"/>
      <c r="AB721" s="1355"/>
      <c r="AC721" s="1360">
        <v>0.7</v>
      </c>
      <c r="AD721" s="1361"/>
      <c r="AE721" s="1361"/>
      <c r="AF721" s="1361"/>
      <c r="AG721" s="1362"/>
      <c r="AH721" s="1356">
        <f t="shared" si="37"/>
        <v>0.61762820512820515</v>
      </c>
      <c r="AI721" s="1357"/>
      <c r="AJ721" s="1358"/>
      <c r="AK721" s="1338" t="s">
        <v>591</v>
      </c>
      <c r="AL721" s="1339"/>
      <c r="AM721" s="1339"/>
      <c r="AN721" s="1339"/>
      <c r="AO721" s="1340"/>
      <c r="AP721" s="3"/>
      <c r="AQ721" s="3"/>
      <c r="AR721" s="3"/>
      <c r="AS721" s="3"/>
      <c r="AY721" s="116"/>
      <c r="AZ721" s="118">
        <f t="shared" si="10"/>
        <v>3120</v>
      </c>
      <c r="BA721" s="3"/>
      <c r="BB721" s="3"/>
      <c r="BC721" s="3"/>
      <c r="BD721" s="3"/>
      <c r="BE721" s="205"/>
      <c r="BF721" s="295">
        <f t="shared" si="11"/>
        <v>44</v>
      </c>
      <c r="BG721" s="298">
        <f t="shared" si="12"/>
        <v>0.43564356435643564</v>
      </c>
      <c r="BH721" s="299">
        <f t="shared" si="13"/>
        <v>0.30495049504950494</v>
      </c>
      <c r="BI721" s="3"/>
      <c r="BJ721" s="3"/>
      <c r="BK721" s="3"/>
      <c r="BL721" s="3"/>
      <c r="BM721" s="3"/>
      <c r="BN721" s="3"/>
      <c r="BS721" s="295">
        <f t="shared" si="14"/>
        <v>44</v>
      </c>
      <c r="BT721" s="298">
        <f t="shared" si="15"/>
        <v>0.43564356435643564</v>
      </c>
      <c r="BU721" s="299">
        <f t="shared" si="16"/>
        <v>0.26906575272911909</v>
      </c>
      <c r="CC721" s="3"/>
      <c r="CD721" s="3"/>
      <c r="CE721" s="3"/>
      <c r="CF721" s="3"/>
      <c r="CG721" s="1463">
        <f t="shared" si="38"/>
        <v>0</v>
      </c>
      <c r="CH721" s="1464"/>
      <c r="CI721" s="1469">
        <f t="shared" si="39"/>
        <v>0</v>
      </c>
      <c r="CJ721" s="1470"/>
      <c r="CK721" s="1463">
        <f t="shared" si="17"/>
        <v>0</v>
      </c>
      <c r="CL721" s="1464"/>
      <c r="CM721" s="1469">
        <f t="shared" si="18"/>
        <v>0</v>
      </c>
      <c r="CN721" s="1470"/>
      <c r="CO721" s="3"/>
      <c r="CP721" s="1458">
        <f t="shared" si="19"/>
        <v>0</v>
      </c>
      <c r="CQ721" s="1459"/>
      <c r="CR721" s="1459"/>
      <c r="CS721" s="1459"/>
      <c r="CT721" s="1460"/>
      <c r="CU721" s="1443">
        <f t="shared" si="20"/>
        <v>0</v>
      </c>
      <c r="CV721" s="1443"/>
      <c r="CW721" s="1443"/>
      <c r="CX721" s="1443"/>
      <c r="CY721" s="1443"/>
      <c r="CZ721" s="1443">
        <f t="shared" si="21"/>
        <v>44</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0</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t="str">
        <f t="shared" si="32"/>
        <v/>
      </c>
      <c r="FF721" s="1465"/>
      <c r="FG721" s="1465"/>
      <c r="FH721" s="1465"/>
      <c r="FI721" s="1464"/>
      <c r="FJ721" s="1463">
        <f t="shared" si="33"/>
        <v>1871</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3.05" customHeight="1">
      <c r="B722" s="1338"/>
      <c r="C722" s="1339"/>
      <c r="D722" s="1339"/>
      <c r="E722" s="1339"/>
      <c r="F722" s="1340"/>
      <c r="G722" s="1350"/>
      <c r="H722" s="1351"/>
      <c r="I722" s="1351"/>
      <c r="J722" s="1352"/>
      <c r="K722" s="1344"/>
      <c r="L722" s="1345"/>
      <c r="M722" s="1345"/>
      <c r="N722" s="1346"/>
      <c r="O722" s="1341"/>
      <c r="P722" s="1342"/>
      <c r="Q722" s="1342"/>
      <c r="R722" s="1342"/>
      <c r="S722" s="1343"/>
      <c r="T722" s="1341"/>
      <c r="U722" s="1342"/>
      <c r="V722" s="1342"/>
      <c r="W722" s="1343"/>
      <c r="X722" s="1353">
        <f t="shared" si="9"/>
        <v>0</v>
      </c>
      <c r="Y722" s="1354"/>
      <c r="Z722" s="1354"/>
      <c r="AA722" s="1354"/>
      <c r="AB722" s="1355"/>
      <c r="AC722" s="1360"/>
      <c r="AD722" s="1361"/>
      <c r="AE722" s="1361"/>
      <c r="AF722" s="1361"/>
      <c r="AG722" s="1362"/>
      <c r="AH722" s="1356" t="str">
        <f t="shared" si="37"/>
        <v/>
      </c>
      <c r="AI722" s="1357"/>
      <c r="AJ722" s="1358"/>
      <c r="AK722" s="1338" t="s">
        <v>591</v>
      </c>
      <c r="AL722" s="1339"/>
      <c r="AM722" s="1339"/>
      <c r="AN722" s="1339"/>
      <c r="AO722" s="1340"/>
      <c r="AP722" s="3"/>
      <c r="AQ722" s="3"/>
      <c r="AR722" s="3"/>
      <c r="AS722" s="3"/>
      <c r="AY722" s="116"/>
      <c r="AZ722" s="118" t="str">
        <f t="shared" si="10"/>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463">
        <f t="shared" si="38"/>
        <v>0</v>
      </c>
      <c r="CH722" s="1464"/>
      <c r="CI722" s="1469">
        <f t="shared" si="39"/>
        <v>0</v>
      </c>
      <c r="CJ722" s="1470"/>
      <c r="CK722" s="1463">
        <f t="shared" si="17"/>
        <v>0</v>
      </c>
      <c r="CL722" s="1464"/>
      <c r="CM722" s="1469">
        <f t="shared" si="18"/>
        <v>0</v>
      </c>
      <c r="CN722" s="1470"/>
      <c r="CO722" s="3"/>
      <c r="CP722" s="1458">
        <f t="shared" si="19"/>
        <v>0</v>
      </c>
      <c r="CQ722" s="1459"/>
      <c r="CR722" s="1459"/>
      <c r="CS722" s="1459"/>
      <c r="CT722" s="1460"/>
      <c r="CU722" s="1443">
        <f t="shared" si="20"/>
        <v>0</v>
      </c>
      <c r="CV722" s="1443"/>
      <c r="CW722" s="1443"/>
      <c r="CX722" s="1443"/>
      <c r="CY722" s="1443"/>
      <c r="CZ722" s="1443">
        <f t="shared" si="21"/>
        <v>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t="str">
        <f t="shared" si="32"/>
        <v/>
      </c>
      <c r="FF722" s="1465"/>
      <c r="FG722" s="1465"/>
      <c r="FH722" s="1465"/>
      <c r="FI722" s="1464"/>
      <c r="FJ722" s="1463" t="str">
        <f t="shared" si="33"/>
        <v/>
      </c>
      <c r="FK722" s="1465"/>
      <c r="FL722" s="1465"/>
      <c r="FM722" s="1465"/>
      <c r="FN722" s="1464"/>
      <c r="FO722" s="1463" t="str">
        <f t="shared" si="34"/>
        <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3.05" customHeight="1">
      <c r="B723" s="1338"/>
      <c r="C723" s="1339"/>
      <c r="D723" s="1339"/>
      <c r="E723" s="1339"/>
      <c r="F723" s="1340"/>
      <c r="G723" s="1350"/>
      <c r="H723" s="1351"/>
      <c r="I723" s="1351"/>
      <c r="J723" s="1352"/>
      <c r="K723" s="1344"/>
      <c r="L723" s="1345"/>
      <c r="M723" s="1345"/>
      <c r="N723" s="1346"/>
      <c r="O723" s="1341"/>
      <c r="P723" s="1342"/>
      <c r="Q723" s="1342"/>
      <c r="R723" s="1342"/>
      <c r="S723" s="1343"/>
      <c r="T723" s="1341"/>
      <c r="U723" s="1342"/>
      <c r="V723" s="1342"/>
      <c r="W723" s="1343"/>
      <c r="X723" s="1353">
        <f t="shared" si="9"/>
        <v>0</v>
      </c>
      <c r="Y723" s="1354"/>
      <c r="Z723" s="1354"/>
      <c r="AA723" s="1354"/>
      <c r="AB723" s="1355"/>
      <c r="AC723" s="1360"/>
      <c r="AD723" s="1361"/>
      <c r="AE723" s="1361"/>
      <c r="AF723" s="1361"/>
      <c r="AG723" s="1362"/>
      <c r="AH723" s="1356" t="str">
        <f t="shared" si="37"/>
        <v/>
      </c>
      <c r="AI723" s="1357"/>
      <c r="AJ723" s="1358"/>
      <c r="AK723" s="1338" t="s">
        <v>591</v>
      </c>
      <c r="AL723" s="1339"/>
      <c r="AM723" s="1339"/>
      <c r="AN723" s="1339"/>
      <c r="AO723" s="1340"/>
      <c r="AP723" s="3"/>
      <c r="AQ723" s="3"/>
      <c r="AR723" s="3"/>
      <c r="AS723" s="3"/>
      <c r="AY723" s="116"/>
      <c r="AZ723" s="118" t="str">
        <f t="shared" si="10"/>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463">
        <f t="shared" si="38"/>
        <v>0</v>
      </c>
      <c r="CH723" s="1464"/>
      <c r="CI723" s="1469">
        <f t="shared" si="39"/>
        <v>0</v>
      </c>
      <c r="CJ723" s="1470"/>
      <c r="CK723" s="1463">
        <f t="shared" si="17"/>
        <v>0</v>
      </c>
      <c r="CL723" s="1464"/>
      <c r="CM723" s="1469">
        <f t="shared" si="18"/>
        <v>0</v>
      </c>
      <c r="CN723" s="1470"/>
      <c r="CO723" s="3"/>
      <c r="CP723" s="1458">
        <f t="shared" si="19"/>
        <v>0</v>
      </c>
      <c r="CQ723" s="1459"/>
      <c r="CR723" s="1459"/>
      <c r="CS723" s="1459"/>
      <c r="CT723" s="1460"/>
      <c r="CU723" s="1443">
        <f t="shared" si="20"/>
        <v>0</v>
      </c>
      <c r="CV723" s="1443"/>
      <c r="CW723" s="1443"/>
      <c r="CX723" s="1443"/>
      <c r="CY723" s="1443"/>
      <c r="CZ723" s="1443">
        <f t="shared" si="21"/>
        <v>0</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0</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t="str">
        <f t="shared" si="32"/>
        <v/>
      </c>
      <c r="FF723" s="1465"/>
      <c r="FG723" s="1465"/>
      <c r="FH723" s="1465"/>
      <c r="FI723" s="1464"/>
      <c r="FJ723" s="1463" t="str">
        <f t="shared" si="33"/>
        <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3.05" customHeight="1">
      <c r="B724" s="1338"/>
      <c r="C724" s="1339"/>
      <c r="D724" s="1339"/>
      <c r="E724" s="1339"/>
      <c r="F724" s="1340"/>
      <c r="G724" s="1350"/>
      <c r="H724" s="1351"/>
      <c r="I724" s="1351"/>
      <c r="J724" s="1352"/>
      <c r="K724" s="1344"/>
      <c r="L724" s="1345"/>
      <c r="M724" s="1345"/>
      <c r="N724" s="1346"/>
      <c r="O724" s="1341"/>
      <c r="P724" s="1342"/>
      <c r="Q724" s="1342"/>
      <c r="R724" s="1342"/>
      <c r="S724" s="1343"/>
      <c r="T724" s="1341"/>
      <c r="U724" s="1342"/>
      <c r="V724" s="1342"/>
      <c r="W724" s="1343"/>
      <c r="X724" s="1353">
        <f t="shared" si="9"/>
        <v>0</v>
      </c>
      <c r="Y724" s="1354"/>
      <c r="Z724" s="1354"/>
      <c r="AA724" s="1354"/>
      <c r="AB724" s="1355"/>
      <c r="AC724" s="1360"/>
      <c r="AD724" s="1361"/>
      <c r="AE724" s="1361"/>
      <c r="AF724" s="1361"/>
      <c r="AG724" s="1362"/>
      <c r="AH724" s="1356" t="str">
        <f t="shared" si="37"/>
        <v/>
      </c>
      <c r="AI724" s="1357"/>
      <c r="AJ724" s="1358"/>
      <c r="AK724" s="1338" t="s">
        <v>591</v>
      </c>
      <c r="AL724" s="1339"/>
      <c r="AM724" s="1339"/>
      <c r="AN724" s="1339"/>
      <c r="AO724" s="1340"/>
      <c r="AP724" s="3"/>
      <c r="AQ724" s="3"/>
      <c r="AR724" s="3"/>
      <c r="AS724" s="3"/>
      <c r="AY724" s="116"/>
      <c r="AZ724" s="118" t="str">
        <f t="shared" si="10"/>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463">
        <f t="shared" si="38"/>
        <v>0</v>
      </c>
      <c r="CH724" s="1464"/>
      <c r="CI724" s="1469">
        <f t="shared" si="39"/>
        <v>0</v>
      </c>
      <c r="CJ724" s="1470"/>
      <c r="CK724" s="1463">
        <f t="shared" si="17"/>
        <v>0</v>
      </c>
      <c r="CL724" s="1464"/>
      <c r="CM724" s="1469">
        <f t="shared" si="18"/>
        <v>0</v>
      </c>
      <c r="CN724" s="1470"/>
      <c r="CO724" s="3"/>
      <c r="CP724" s="1458">
        <f t="shared" si="19"/>
        <v>0</v>
      </c>
      <c r="CQ724" s="1459"/>
      <c r="CR724" s="1459"/>
      <c r="CS724" s="1459"/>
      <c r="CT724" s="1460"/>
      <c r="CU724" s="1443">
        <f t="shared" si="20"/>
        <v>0</v>
      </c>
      <c r="CV724" s="1443"/>
      <c r="CW724" s="1443"/>
      <c r="CX724" s="1443"/>
      <c r="CY724" s="1443"/>
      <c r="CZ724" s="1443">
        <f t="shared" si="21"/>
        <v>0</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t="str">
        <f t="shared" si="32"/>
        <v/>
      </c>
      <c r="FF724" s="1465"/>
      <c r="FG724" s="1465"/>
      <c r="FH724" s="1465"/>
      <c r="FI724" s="1464"/>
      <c r="FJ724" s="1463" t="str">
        <f t="shared" si="33"/>
        <v/>
      </c>
      <c r="FK724" s="1465"/>
      <c r="FL724" s="1465"/>
      <c r="FM724" s="1465"/>
      <c r="FN724" s="1464"/>
      <c r="FO724" s="1463" t="str">
        <f t="shared" si="34"/>
        <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3.05" customHeight="1">
      <c r="B725" s="1338"/>
      <c r="C725" s="1339"/>
      <c r="D725" s="1339"/>
      <c r="E725" s="1339"/>
      <c r="F725" s="1340"/>
      <c r="G725" s="1350"/>
      <c r="H725" s="1351"/>
      <c r="I725" s="1351"/>
      <c r="J725" s="1352"/>
      <c r="K725" s="1344"/>
      <c r="L725" s="1345"/>
      <c r="M725" s="1345"/>
      <c r="N725" s="1346"/>
      <c r="O725" s="1341"/>
      <c r="P725" s="1342"/>
      <c r="Q725" s="1342"/>
      <c r="R725" s="1342"/>
      <c r="S725" s="1343"/>
      <c r="T725" s="1341"/>
      <c r="U725" s="1342"/>
      <c r="V725" s="1342"/>
      <c r="W725" s="1343"/>
      <c r="X725" s="1353">
        <f t="shared" si="9"/>
        <v>0</v>
      </c>
      <c r="Y725" s="1354"/>
      <c r="Z725" s="1354"/>
      <c r="AA725" s="1354"/>
      <c r="AB725" s="1355"/>
      <c r="AC725" s="1360"/>
      <c r="AD725" s="1361"/>
      <c r="AE725" s="1361"/>
      <c r="AF725" s="1361"/>
      <c r="AG725" s="1362"/>
      <c r="AH725" s="1356" t="str">
        <f t="shared" si="37"/>
        <v/>
      </c>
      <c r="AI725" s="1357"/>
      <c r="AJ725" s="1358"/>
      <c r="AK725" s="1338" t="s">
        <v>591</v>
      </c>
      <c r="AL725" s="1339"/>
      <c r="AM725" s="1339"/>
      <c r="AN725" s="1339"/>
      <c r="AO725" s="1340"/>
      <c r="AP725" s="3"/>
      <c r="AQ725" s="3"/>
      <c r="AR725" s="3"/>
      <c r="AS725" s="3"/>
      <c r="AY725" s="1087"/>
      <c r="AZ725" s="118" t="str">
        <f t="shared" si="10"/>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463">
        <f t="shared" si="38"/>
        <v>0</v>
      </c>
      <c r="CH725" s="1464"/>
      <c r="CI725" s="1469">
        <f t="shared" si="39"/>
        <v>0</v>
      </c>
      <c r="CJ725" s="1470"/>
      <c r="CK725" s="1463">
        <f t="shared" si="17"/>
        <v>0</v>
      </c>
      <c r="CL725" s="1464"/>
      <c r="CM725" s="1469">
        <f t="shared" si="18"/>
        <v>0</v>
      </c>
      <c r="CN725" s="1470"/>
      <c r="CO725" s="3"/>
      <c r="CP725" s="1458">
        <f t="shared" si="19"/>
        <v>0</v>
      </c>
      <c r="CQ725" s="1459"/>
      <c r="CR725" s="1459"/>
      <c r="CS725" s="1459"/>
      <c r="CT725" s="1460"/>
      <c r="CU725" s="1443">
        <f t="shared" si="20"/>
        <v>0</v>
      </c>
      <c r="CV725" s="1443"/>
      <c r="CW725" s="1443"/>
      <c r="CX725" s="1443"/>
      <c r="CY725" s="1443"/>
      <c r="CZ725" s="1443">
        <f t="shared" si="21"/>
        <v>0</v>
      </c>
      <c r="DA725" s="1443"/>
      <c r="DB725" s="1443"/>
      <c r="DC725" s="1443"/>
      <c r="DD725" s="1443"/>
      <c r="DE725" s="1443">
        <f t="shared" si="22"/>
        <v>0</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t="str">
        <f t="shared" si="33"/>
        <v/>
      </c>
      <c r="FK725" s="1465"/>
      <c r="FL725" s="1465"/>
      <c r="FM725" s="1465"/>
      <c r="FN725" s="1464"/>
      <c r="FO725" s="1463" t="str">
        <f t="shared" si="34"/>
        <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3.05"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9"/>
        <v>0</v>
      </c>
      <c r="Y726" s="1354"/>
      <c r="Z726" s="1354"/>
      <c r="AA726" s="1354"/>
      <c r="AB726" s="1355"/>
      <c r="AC726" s="1360"/>
      <c r="AD726" s="1361"/>
      <c r="AE726" s="1361"/>
      <c r="AF726" s="1361"/>
      <c r="AG726" s="1362"/>
      <c r="AH726" s="1356" t="str">
        <f t="shared" si="37"/>
        <v/>
      </c>
      <c r="AI726" s="1357"/>
      <c r="AJ726" s="1358"/>
      <c r="AK726" s="1338" t="s">
        <v>591</v>
      </c>
      <c r="AL726" s="1339"/>
      <c r="AM726" s="1339"/>
      <c r="AN726" s="1339"/>
      <c r="AO726" s="1340"/>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463">
        <f t="shared" si="38"/>
        <v>0</v>
      </c>
      <c r="CH726" s="1464"/>
      <c r="CI726" s="1469">
        <f t="shared" si="39"/>
        <v>0</v>
      </c>
      <c r="CJ726" s="1470"/>
      <c r="CK726" s="1463">
        <f t="shared" si="17"/>
        <v>0</v>
      </c>
      <c r="CL726" s="1464"/>
      <c r="CM726" s="1469">
        <f t="shared" si="18"/>
        <v>0</v>
      </c>
      <c r="CN726" s="1470"/>
      <c r="CO726" s="3"/>
      <c r="CP726" s="1458">
        <f t="shared" si="19"/>
        <v>0</v>
      </c>
      <c r="CQ726" s="1459"/>
      <c r="CR726" s="1459"/>
      <c r="CS726" s="1459"/>
      <c r="CT726" s="1460"/>
      <c r="CU726" s="1443">
        <f t="shared" si="20"/>
        <v>0</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t="str">
        <f t="shared" si="32"/>
        <v/>
      </c>
      <c r="FF726" s="1465"/>
      <c r="FG726" s="1465"/>
      <c r="FH726" s="1465"/>
      <c r="FI726" s="1464"/>
      <c r="FJ726" s="1463" t="str">
        <f t="shared" si="33"/>
        <v/>
      </c>
      <c r="FK726" s="1465"/>
      <c r="FL726" s="1465"/>
      <c r="FM726" s="1465"/>
      <c r="FN726" s="1464"/>
      <c r="FO726" s="1463" t="str">
        <f t="shared" si="34"/>
        <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3.0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9"/>
        <v>0</v>
      </c>
      <c r="Y727" s="1354"/>
      <c r="Z727" s="1354"/>
      <c r="AA727" s="1354"/>
      <c r="AB727" s="1355"/>
      <c r="AC727" s="1360"/>
      <c r="AD727" s="1361"/>
      <c r="AE727" s="1361"/>
      <c r="AF727" s="1361"/>
      <c r="AG727" s="1362"/>
      <c r="AH727" s="1356" t="str">
        <f t="shared" si="37"/>
        <v/>
      </c>
      <c r="AI727" s="1357"/>
      <c r="AJ727" s="1358"/>
      <c r="AK727" s="1338" t="s">
        <v>591</v>
      </c>
      <c r="AL727" s="1339"/>
      <c r="AM727" s="1339"/>
      <c r="AN727" s="1339"/>
      <c r="AO727" s="1340"/>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463">
        <f t="shared" si="38"/>
        <v>0</v>
      </c>
      <c r="CH727" s="1464"/>
      <c r="CI727" s="1469">
        <f t="shared" si="39"/>
        <v>0</v>
      </c>
      <c r="CJ727" s="1470"/>
      <c r="CK727" s="1463">
        <f t="shared" si="17"/>
        <v>0</v>
      </c>
      <c r="CL727" s="1464"/>
      <c r="CM727" s="1469">
        <f t="shared" si="18"/>
        <v>0</v>
      </c>
      <c r="CN727" s="1470"/>
      <c r="CO727" s="3"/>
      <c r="CP727" s="1458">
        <f t="shared" si="19"/>
        <v>0</v>
      </c>
      <c r="CQ727" s="1459"/>
      <c r="CR727" s="1459"/>
      <c r="CS727" s="1459"/>
      <c r="CT727" s="1460"/>
      <c r="CU727" s="1443">
        <f t="shared" si="20"/>
        <v>0</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t="str">
        <f t="shared" si="33"/>
        <v/>
      </c>
      <c r="FK727" s="1465"/>
      <c r="FL727" s="1465"/>
      <c r="FM727" s="1465"/>
      <c r="FN727" s="1464"/>
      <c r="FO727" s="1463" t="str">
        <f t="shared" si="34"/>
        <v/>
      </c>
      <c r="FP727" s="1465"/>
      <c r="FQ727" s="1465"/>
      <c r="FR727" s="1465"/>
      <c r="FS727" s="1464"/>
      <c r="FT727" s="1463" t="str">
        <f t="shared" si="35"/>
        <v/>
      </c>
      <c r="FU727" s="1465"/>
      <c r="FV727" s="1465"/>
      <c r="FW727" s="1465"/>
      <c r="FX727" s="1464"/>
      <c r="FY727" s="1463" t="str">
        <f t="shared" si="36"/>
        <v/>
      </c>
      <c r="FZ727" s="1465"/>
      <c r="GA727" s="1465"/>
      <c r="GB727" s="1465"/>
      <c r="GC727" s="1464"/>
    </row>
    <row r="728" spans="1:185" ht="13.0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9"/>
        <v>0</v>
      </c>
      <c r="Y728" s="1354"/>
      <c r="Z728" s="1354"/>
      <c r="AA728" s="1354"/>
      <c r="AB728" s="1355"/>
      <c r="AC728" s="1360"/>
      <c r="AD728" s="1361"/>
      <c r="AE728" s="1361"/>
      <c r="AF728" s="1361"/>
      <c r="AG728" s="1362"/>
      <c r="AH728" s="1356" t="str">
        <f t="shared" si="37"/>
        <v/>
      </c>
      <c r="AI728" s="1357"/>
      <c r="AJ728" s="1358"/>
      <c r="AK728" s="1338" t="s">
        <v>591</v>
      </c>
      <c r="AL728" s="1339"/>
      <c r="AM728" s="1339"/>
      <c r="AN728" s="1339"/>
      <c r="AO728" s="1340"/>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463">
        <f t="shared" si="38"/>
        <v>0</v>
      </c>
      <c r="CH728" s="1464"/>
      <c r="CI728" s="1469">
        <f t="shared" si="39"/>
        <v>0</v>
      </c>
      <c r="CJ728" s="1470"/>
      <c r="CK728" s="1463">
        <f t="shared" si="17"/>
        <v>0</v>
      </c>
      <c r="CL728" s="1464"/>
      <c r="CM728" s="1469">
        <f t="shared" si="18"/>
        <v>0</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0</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t="str">
        <f t="shared" si="34"/>
        <v/>
      </c>
      <c r="FP728" s="1465"/>
      <c r="FQ728" s="1465"/>
      <c r="FR728" s="1465"/>
      <c r="FS728" s="1464"/>
      <c r="FT728" s="1463" t="str">
        <f t="shared" si="35"/>
        <v/>
      </c>
      <c r="FU728" s="1465"/>
      <c r="FV728" s="1465"/>
      <c r="FW728" s="1465"/>
      <c r="FX728" s="1464"/>
      <c r="FY728" s="1463" t="str">
        <f t="shared" si="36"/>
        <v/>
      </c>
      <c r="FZ728" s="1465"/>
      <c r="GA728" s="1465"/>
      <c r="GB728" s="1465"/>
      <c r="GC728" s="1464"/>
    </row>
    <row r="729" spans="1:185" ht="13.0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9"/>
        <v>0</v>
      </c>
      <c r="Y729" s="1354"/>
      <c r="Z729" s="1354"/>
      <c r="AA729" s="1354"/>
      <c r="AB729" s="1355"/>
      <c r="AC729" s="1360"/>
      <c r="AD729" s="1361"/>
      <c r="AE729" s="1361"/>
      <c r="AF729" s="1361"/>
      <c r="AG729" s="1362"/>
      <c r="AH729" s="1356" t="str">
        <f t="shared" si="37"/>
        <v/>
      </c>
      <c r="AI729" s="1357"/>
      <c r="AJ729" s="1358"/>
      <c r="AK729" s="1338" t="s">
        <v>591</v>
      </c>
      <c r="AL729" s="1339"/>
      <c r="AM729" s="1339"/>
      <c r="AN729" s="1339"/>
      <c r="AO729" s="1340"/>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463">
        <f t="shared" si="38"/>
        <v>0</v>
      </c>
      <c r="CH729" s="1464"/>
      <c r="CI729" s="1469">
        <f t="shared" si="39"/>
        <v>0</v>
      </c>
      <c r="CJ729" s="1470"/>
      <c r="CK729" s="1463">
        <f t="shared" si="17"/>
        <v>0</v>
      </c>
      <c r="CL729" s="1464"/>
      <c r="CM729" s="1469">
        <f t="shared" si="18"/>
        <v>0</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0</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t="str">
        <f t="shared" si="34"/>
        <v/>
      </c>
      <c r="FP729" s="1465"/>
      <c r="FQ729" s="1465"/>
      <c r="FR729" s="1465"/>
      <c r="FS729" s="1464"/>
      <c r="FT729" s="1463" t="str">
        <f t="shared" si="35"/>
        <v/>
      </c>
      <c r="FU729" s="1465"/>
      <c r="FV729" s="1465"/>
      <c r="FW729" s="1465"/>
      <c r="FX729" s="1464"/>
      <c r="FY729" s="1463" t="str">
        <f t="shared" si="36"/>
        <v/>
      </c>
      <c r="FZ729" s="1465"/>
      <c r="GA729" s="1465"/>
      <c r="GB729" s="1465"/>
      <c r="GC729" s="1464"/>
    </row>
    <row r="730" spans="1:185" ht="13.0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9"/>
        <v>0</v>
      </c>
      <c r="Y730" s="1354"/>
      <c r="Z730" s="1354"/>
      <c r="AA730" s="1354"/>
      <c r="AB730" s="1355"/>
      <c r="AC730" s="1360"/>
      <c r="AD730" s="1361"/>
      <c r="AE730" s="1361"/>
      <c r="AF730" s="1361"/>
      <c r="AG730" s="1362"/>
      <c r="AH730" s="1356" t="str">
        <f t="shared" si="37"/>
        <v/>
      </c>
      <c r="AI730" s="1357"/>
      <c r="AJ730" s="1358"/>
      <c r="AK730" s="1338" t="s">
        <v>591</v>
      </c>
      <c r="AL730" s="1339"/>
      <c r="AM730" s="1339"/>
      <c r="AN730" s="1339"/>
      <c r="AO730" s="1340"/>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463">
        <f t="shared" si="38"/>
        <v>0</v>
      </c>
      <c r="CH730" s="1464"/>
      <c r="CI730" s="1469">
        <f t="shared" si="39"/>
        <v>0</v>
      </c>
      <c r="CJ730" s="1470"/>
      <c r="CK730" s="1463">
        <f t="shared" si="17"/>
        <v>0</v>
      </c>
      <c r="CL730" s="1464"/>
      <c r="CM730" s="1469">
        <f t="shared" si="18"/>
        <v>0</v>
      </c>
      <c r="CN730" s="1470"/>
      <c r="CO730" s="3"/>
      <c r="CP730" s="1458">
        <f t="shared" si="19"/>
        <v>0</v>
      </c>
      <c r="CQ730" s="1459"/>
      <c r="CR730" s="1459"/>
      <c r="CS730" s="1459"/>
      <c r="CT730" s="1460"/>
      <c r="CU730" s="1443">
        <f t="shared" si="20"/>
        <v>0</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t="str">
        <f t="shared" si="32"/>
        <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3.0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9"/>
        <v>0</v>
      </c>
      <c r="Y731" s="1354"/>
      <c r="Z731" s="1354"/>
      <c r="AA731" s="1354"/>
      <c r="AB731" s="1355"/>
      <c r="AC731" s="1360"/>
      <c r="AD731" s="1361"/>
      <c r="AE731" s="1361"/>
      <c r="AF731" s="1361"/>
      <c r="AG731" s="1362"/>
      <c r="AH731" s="1356" t="str">
        <f t="shared" si="37"/>
        <v/>
      </c>
      <c r="AI731" s="1357"/>
      <c r="AJ731" s="1358"/>
      <c r="AK731" s="1338" t="s">
        <v>591</v>
      </c>
      <c r="AL731" s="1339"/>
      <c r="AM731" s="1339"/>
      <c r="AN731" s="1339"/>
      <c r="AO731" s="1340"/>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463">
        <f t="shared" si="38"/>
        <v>0</v>
      </c>
      <c r="CH731" s="1464"/>
      <c r="CI731" s="1469">
        <f t="shared" si="39"/>
        <v>0</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0</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t="str">
        <f t="shared" si="33"/>
        <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3.0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9"/>
        <v>0</v>
      </c>
      <c r="Y732" s="1354"/>
      <c r="Z732" s="1354"/>
      <c r="AA732" s="1354"/>
      <c r="AB732" s="1355"/>
      <c r="AC732" s="1360"/>
      <c r="AD732" s="1361"/>
      <c r="AE732" s="1361"/>
      <c r="AF732" s="1361"/>
      <c r="AG732" s="1362"/>
      <c r="AH732" s="1356" t="str">
        <f t="shared" si="37"/>
        <v/>
      </c>
      <c r="AI732" s="1357"/>
      <c r="AJ732" s="1358"/>
      <c r="AK732" s="1338" t="s">
        <v>591</v>
      </c>
      <c r="AL732" s="1339"/>
      <c r="AM732" s="1339"/>
      <c r="AN732" s="1339"/>
      <c r="AO732" s="1340"/>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463">
        <f t="shared" si="38"/>
        <v>0</v>
      </c>
      <c r="CH732" s="1464"/>
      <c r="CI732" s="1469">
        <f t="shared" si="39"/>
        <v>0</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t="str">
        <f t="shared" si="33"/>
        <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3.0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9"/>
        <v>0</v>
      </c>
      <c r="Y733" s="1354"/>
      <c r="Z733" s="1354"/>
      <c r="AA733" s="1354"/>
      <c r="AB733" s="1355"/>
      <c r="AC733" s="1360"/>
      <c r="AD733" s="1361"/>
      <c r="AE733" s="1361"/>
      <c r="AF733" s="1361"/>
      <c r="AG733" s="1362"/>
      <c r="AH733" s="1356" t="str">
        <f t="shared" si="37"/>
        <v/>
      </c>
      <c r="AI733" s="1357"/>
      <c r="AJ733" s="1358"/>
      <c r="AK733" s="1338" t="s">
        <v>591</v>
      </c>
      <c r="AL733" s="1339"/>
      <c r="AM733" s="1339"/>
      <c r="AN733" s="1339"/>
      <c r="AO733" s="1340"/>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463">
        <f t="shared" si="38"/>
        <v>0</v>
      </c>
      <c r="CH733" s="1464"/>
      <c r="CI733" s="1469">
        <f t="shared" si="39"/>
        <v>0</v>
      </c>
      <c r="CJ733" s="1470"/>
      <c r="CK733" s="1463">
        <f t="shared" si="17"/>
        <v>0</v>
      </c>
      <c r="CL733" s="1464"/>
      <c r="CM733" s="1469">
        <f t="shared" si="18"/>
        <v>0</v>
      </c>
      <c r="CN733" s="1470"/>
      <c r="CO733" s="3"/>
      <c r="CP733" s="1458">
        <f t="shared" si="19"/>
        <v>0</v>
      </c>
      <c r="CQ733" s="1459"/>
      <c r="CR733" s="1459"/>
      <c r="CS733" s="1459"/>
      <c r="CT733" s="1460"/>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t="str">
        <f t="shared" si="32"/>
        <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3.0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9"/>
        <v>0</v>
      </c>
      <c r="Y734" s="1354"/>
      <c r="Z734" s="1354"/>
      <c r="AA734" s="1354"/>
      <c r="AB734" s="1355"/>
      <c r="AC734" s="1360"/>
      <c r="AD734" s="1361"/>
      <c r="AE734" s="1361"/>
      <c r="AF734" s="1361"/>
      <c r="AG734" s="1362"/>
      <c r="AH734" s="1356" t="str">
        <f t="shared" si="37"/>
        <v/>
      </c>
      <c r="AI734" s="1357"/>
      <c r="AJ734" s="1358"/>
      <c r="AK734" s="1338" t="s">
        <v>591</v>
      </c>
      <c r="AL734" s="1339"/>
      <c r="AM734" s="1339"/>
      <c r="AN734" s="1339"/>
      <c r="AO734" s="1340"/>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463">
        <f t="shared" si="38"/>
        <v>0</v>
      </c>
      <c r="CH734" s="1464"/>
      <c r="CI734" s="1469">
        <f t="shared" si="39"/>
        <v>0</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t="str">
        <f t="shared" si="33"/>
        <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3.0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9"/>
        <v>0</v>
      </c>
      <c r="Y735" s="1354"/>
      <c r="Z735" s="1354"/>
      <c r="AA735" s="1354"/>
      <c r="AB735" s="1355"/>
      <c r="AC735" s="1360"/>
      <c r="AD735" s="1361"/>
      <c r="AE735" s="1361"/>
      <c r="AF735" s="1361"/>
      <c r="AG735" s="1362"/>
      <c r="AH735" s="1356" t="str">
        <f t="shared" si="37"/>
        <v/>
      </c>
      <c r="AI735" s="1357"/>
      <c r="AJ735" s="1358"/>
      <c r="AK735" s="1338" t="s">
        <v>591</v>
      </c>
      <c r="AL735" s="1339"/>
      <c r="AM735" s="1339"/>
      <c r="AN735" s="1339"/>
      <c r="AO735" s="1340"/>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463">
        <f t="shared" si="38"/>
        <v>0</v>
      </c>
      <c r="CH735" s="1464"/>
      <c r="CI735" s="1469">
        <f t="shared" si="39"/>
        <v>0</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t="str">
        <f t="shared" si="33"/>
        <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3.0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9"/>
        <v>0</v>
      </c>
      <c r="Y736" s="1354"/>
      <c r="Z736" s="1354"/>
      <c r="AA736" s="1354"/>
      <c r="AB736" s="1355"/>
      <c r="AC736" s="1360"/>
      <c r="AD736" s="1361"/>
      <c r="AE736" s="1361"/>
      <c r="AF736" s="1361"/>
      <c r="AG736" s="1362"/>
      <c r="AH736" s="1356" t="str">
        <f t="shared" si="37"/>
        <v/>
      </c>
      <c r="AI736" s="1357"/>
      <c r="AJ736" s="1358"/>
      <c r="AK736" s="1338" t="s">
        <v>591</v>
      </c>
      <c r="AL736" s="1339"/>
      <c r="AM736" s="1339"/>
      <c r="AN736" s="1339"/>
      <c r="AO736" s="1340"/>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463">
        <f t="shared" si="38"/>
        <v>0</v>
      </c>
      <c r="CH736" s="1464"/>
      <c r="CI736" s="1469">
        <f t="shared" si="39"/>
        <v>0</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t="str">
        <f t="shared" si="34"/>
        <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3.0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9"/>
        <v>0</v>
      </c>
      <c r="Y737" s="1354"/>
      <c r="Z737" s="1354"/>
      <c r="AA737" s="1354"/>
      <c r="AB737" s="1355"/>
      <c r="AC737" s="1360"/>
      <c r="AD737" s="1361"/>
      <c r="AE737" s="1361"/>
      <c r="AF737" s="1361"/>
      <c r="AG737" s="1362"/>
      <c r="AH737" s="1356" t="str">
        <f t="shared" si="37"/>
        <v/>
      </c>
      <c r="AI737" s="1357"/>
      <c r="AJ737" s="1358"/>
      <c r="AK737" s="1338" t="s">
        <v>591</v>
      </c>
      <c r="AL737" s="1339"/>
      <c r="AM737" s="1339"/>
      <c r="AN737" s="1339"/>
      <c r="AO737" s="1340"/>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463">
        <f t="shared" si="38"/>
        <v>0</v>
      </c>
      <c r="CH737" s="1464"/>
      <c r="CI737" s="1469">
        <f t="shared" si="39"/>
        <v>0</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t="str">
        <f t="shared" si="34"/>
        <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3.0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9"/>
        <v>0</v>
      </c>
      <c r="Y738" s="1354"/>
      <c r="Z738" s="1354"/>
      <c r="AA738" s="1354"/>
      <c r="AB738" s="1355"/>
      <c r="AC738" s="1360"/>
      <c r="AD738" s="1361"/>
      <c r="AE738" s="1361"/>
      <c r="AF738" s="1361"/>
      <c r="AG738" s="1362"/>
      <c r="AH738" s="1356" t="str">
        <f t="shared" si="37"/>
        <v/>
      </c>
      <c r="AI738" s="1357"/>
      <c r="AJ738" s="1358"/>
      <c r="AK738" s="1338" t="s">
        <v>591</v>
      </c>
      <c r="AL738" s="1339"/>
      <c r="AM738" s="1339"/>
      <c r="AN738" s="1339"/>
      <c r="AO738" s="1340"/>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t="str">
        <f t="shared" si="32"/>
        <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3.0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9"/>
        <v>0</v>
      </c>
      <c r="Y739" s="1354"/>
      <c r="Z739" s="1354"/>
      <c r="AA739" s="1354"/>
      <c r="AB739" s="1355"/>
      <c r="AC739" s="1360"/>
      <c r="AD739" s="1361"/>
      <c r="AE739" s="1361"/>
      <c r="AF739" s="1361"/>
      <c r="AG739" s="1362"/>
      <c r="AH739" s="1356" t="str">
        <f t="shared" si="37"/>
        <v/>
      </c>
      <c r="AI739" s="1357"/>
      <c r="AJ739" s="1358"/>
      <c r="AK739" s="1338" t="s">
        <v>591</v>
      </c>
      <c r="AL739" s="1339"/>
      <c r="AM739" s="1339"/>
      <c r="AN739" s="1339"/>
      <c r="AO739" s="1340"/>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t="str">
        <f t="shared" si="33"/>
        <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3.0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9"/>
        <v>0</v>
      </c>
      <c r="Y740" s="1354"/>
      <c r="Z740" s="1354"/>
      <c r="AA740" s="1354"/>
      <c r="AB740" s="1355"/>
      <c r="AC740" s="1360"/>
      <c r="AD740" s="1361"/>
      <c r="AE740" s="1361"/>
      <c r="AF740" s="1361"/>
      <c r="AG740" s="1362"/>
      <c r="AH740" s="1356" t="str">
        <f t="shared" si="37"/>
        <v/>
      </c>
      <c r="AI740" s="1357"/>
      <c r="AJ740" s="1358"/>
      <c r="AK740" s="1338" t="s">
        <v>591</v>
      </c>
      <c r="AL740" s="1339"/>
      <c r="AM740" s="1339"/>
      <c r="AN740" s="1339"/>
      <c r="AO740" s="1340"/>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t="str">
        <f t="shared" si="32"/>
        <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3.0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9"/>
        <v>0</v>
      </c>
      <c r="Y741" s="1354"/>
      <c r="Z741" s="1354"/>
      <c r="AA741" s="1354"/>
      <c r="AB741" s="1355"/>
      <c r="AC741" s="1360"/>
      <c r="AD741" s="1361"/>
      <c r="AE741" s="1361"/>
      <c r="AF741" s="1361"/>
      <c r="AG741" s="1362"/>
      <c r="AH741" s="1356" t="str">
        <f t="shared" si="37"/>
        <v/>
      </c>
      <c r="AI741" s="1357"/>
      <c r="AJ741" s="1358"/>
      <c r="AK741" s="1338" t="s">
        <v>591</v>
      </c>
      <c r="AL741" s="1339"/>
      <c r="AM741" s="1339"/>
      <c r="AN741" s="1339"/>
      <c r="AO741" s="1340"/>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t="str">
        <f t="shared" si="33"/>
        <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3.0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40">O742+T742</f>
        <v>0</v>
      </c>
      <c r="Y742" s="1354"/>
      <c r="Z742" s="1354"/>
      <c r="AA742" s="1354"/>
      <c r="AB742" s="1355"/>
      <c r="AC742" s="1360"/>
      <c r="AD742" s="1361"/>
      <c r="AE742" s="1361"/>
      <c r="AF742" s="1361"/>
      <c r="AG742" s="1362"/>
      <c r="AH742" s="1356" t="str">
        <f t="shared" si="37"/>
        <v/>
      </c>
      <c r="AI742" s="1357"/>
      <c r="AJ742" s="1358"/>
      <c r="AK742" s="1338" t="s">
        <v>591</v>
      </c>
      <c r="AL742" s="1339"/>
      <c r="AM742" s="1339"/>
      <c r="AN742" s="1339"/>
      <c r="AO742" s="1340"/>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3.0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40"/>
        <v>0</v>
      </c>
      <c r="Y743" s="1354"/>
      <c r="Z743" s="1354"/>
      <c r="AA743" s="1354"/>
      <c r="AB743" s="1355"/>
      <c r="AC743" s="1360"/>
      <c r="AD743" s="1361"/>
      <c r="AE743" s="1361"/>
      <c r="AF743" s="1361"/>
      <c r="AG743" s="1362"/>
      <c r="AH743" s="1356" t="str">
        <f t="shared" si="37"/>
        <v/>
      </c>
      <c r="AI743" s="1357"/>
      <c r="AJ743" s="1358"/>
      <c r="AK743" s="1338" t="s">
        <v>591</v>
      </c>
      <c r="AL743" s="1339"/>
      <c r="AM743" s="1339"/>
      <c r="AN743" s="1339"/>
      <c r="AO743" s="1340"/>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3.0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40"/>
        <v>0</v>
      </c>
      <c r="Y744" s="1354"/>
      <c r="Z744" s="1354"/>
      <c r="AA744" s="1354"/>
      <c r="AB744" s="1355"/>
      <c r="AC744" s="1360"/>
      <c r="AD744" s="1361"/>
      <c r="AE744" s="1361"/>
      <c r="AF744" s="1361"/>
      <c r="AG744" s="1362"/>
      <c r="AH744" s="1356" t="str">
        <f t="shared" si="37"/>
        <v/>
      </c>
      <c r="AI744" s="1357"/>
      <c r="AJ744" s="1358"/>
      <c r="AK744" s="1338" t="s">
        <v>591</v>
      </c>
      <c r="AL744" s="1339"/>
      <c r="AM744" s="1339"/>
      <c r="AN744" s="1339"/>
      <c r="AO744" s="1340"/>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3.0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40"/>
        <v>0</v>
      </c>
      <c r="Y745" s="1354"/>
      <c r="Z745" s="1354"/>
      <c r="AA745" s="1354"/>
      <c r="AB745" s="1355"/>
      <c r="AC745" s="1360"/>
      <c r="AD745" s="1361"/>
      <c r="AE745" s="1361"/>
      <c r="AF745" s="1361"/>
      <c r="AG745" s="1362"/>
      <c r="AH745" s="1356" t="str">
        <f t="shared" si="37"/>
        <v/>
      </c>
      <c r="AI745" s="1357"/>
      <c r="AJ745" s="1358"/>
      <c r="AK745" s="1338" t="s">
        <v>591</v>
      </c>
      <c r="AL745" s="1339"/>
      <c r="AM745" s="1339"/>
      <c r="AN745" s="1339"/>
      <c r="AO745" s="1340"/>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3.0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40"/>
        <v>0</v>
      </c>
      <c r="Y746" s="1354"/>
      <c r="Z746" s="1354"/>
      <c r="AA746" s="1354"/>
      <c r="AB746" s="1355"/>
      <c r="AC746" s="1360"/>
      <c r="AD746" s="1361"/>
      <c r="AE746" s="1361"/>
      <c r="AF746" s="1361"/>
      <c r="AG746" s="1362"/>
      <c r="AH746" s="1356" t="str">
        <f t="shared" si="37"/>
        <v/>
      </c>
      <c r="AI746" s="1357"/>
      <c r="AJ746" s="1358"/>
      <c r="AK746" s="1338" t="s">
        <v>591</v>
      </c>
      <c r="AL746" s="1339"/>
      <c r="AM746" s="1339"/>
      <c r="AN746" s="1339"/>
      <c r="AO746" s="1340"/>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3.0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40"/>
        <v>0</v>
      </c>
      <c r="Y747" s="1354"/>
      <c r="Z747" s="1354"/>
      <c r="AA747" s="1354"/>
      <c r="AB747" s="1355"/>
      <c r="AC747" s="1360"/>
      <c r="AD747" s="1361"/>
      <c r="AE747" s="1361"/>
      <c r="AF747" s="1361"/>
      <c r="AG747" s="1362"/>
      <c r="AH747" s="1356" t="str">
        <f t="shared" si="37"/>
        <v/>
      </c>
      <c r="AI747" s="1357"/>
      <c r="AJ747" s="1358"/>
      <c r="AK747" s="1338" t="s">
        <v>591</v>
      </c>
      <c r="AL747" s="1339"/>
      <c r="AM747" s="1339"/>
      <c r="AN747" s="1339"/>
      <c r="AO747" s="1340"/>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3.0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40"/>
        <v>0</v>
      </c>
      <c r="Y748" s="1354"/>
      <c r="Z748" s="1354"/>
      <c r="AA748" s="1354"/>
      <c r="AB748" s="1355"/>
      <c r="AC748" s="1360"/>
      <c r="AD748" s="1361"/>
      <c r="AE748" s="1361"/>
      <c r="AF748" s="1361"/>
      <c r="AG748" s="1362"/>
      <c r="AH748" s="1356" t="str">
        <f t="shared" si="37"/>
        <v/>
      </c>
      <c r="AI748" s="1357"/>
      <c r="AJ748" s="1358"/>
      <c r="AK748" s="1338" t="s">
        <v>591</v>
      </c>
      <c r="AL748" s="1339"/>
      <c r="AM748" s="1339"/>
      <c r="AN748" s="1339"/>
      <c r="AO748" s="1340"/>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3.0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40"/>
        <v>0</v>
      </c>
      <c r="Y749" s="1354"/>
      <c r="Z749" s="1354"/>
      <c r="AA749" s="1354"/>
      <c r="AB749" s="1355"/>
      <c r="AC749" s="1360"/>
      <c r="AD749" s="1361"/>
      <c r="AE749" s="1361"/>
      <c r="AF749" s="1361"/>
      <c r="AG749" s="1362"/>
      <c r="AH749" s="1356" t="str">
        <f t="shared" si="37"/>
        <v/>
      </c>
      <c r="AI749" s="1357"/>
      <c r="AJ749" s="1358"/>
      <c r="AK749" s="1338" t="s">
        <v>591</v>
      </c>
      <c r="AL749" s="1339"/>
      <c r="AM749" s="1339"/>
      <c r="AN749" s="1339"/>
      <c r="AO749" s="1340"/>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3.0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40"/>
        <v>0</v>
      </c>
      <c r="Y750" s="1354"/>
      <c r="Z750" s="1354"/>
      <c r="AA750" s="1354"/>
      <c r="AB750" s="1355"/>
      <c r="AC750" s="1360"/>
      <c r="AD750" s="1361"/>
      <c r="AE750" s="1361"/>
      <c r="AF750" s="1361"/>
      <c r="AG750" s="1362"/>
      <c r="AH750" s="1356" t="str">
        <f t="shared" si="37"/>
        <v/>
      </c>
      <c r="AI750" s="1357"/>
      <c r="AJ750" s="1358"/>
      <c r="AK750" s="1338" t="s">
        <v>591</v>
      </c>
      <c r="AL750" s="1339"/>
      <c r="AM750" s="1339"/>
      <c r="AN750" s="1339"/>
      <c r="AO750" s="1340"/>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3.0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40"/>
        <v>0</v>
      </c>
      <c r="Y751" s="1354"/>
      <c r="Z751" s="1354"/>
      <c r="AA751" s="1354"/>
      <c r="AB751" s="1355"/>
      <c r="AC751" s="1360"/>
      <c r="AD751" s="1361"/>
      <c r="AE751" s="1361"/>
      <c r="AF751" s="1361"/>
      <c r="AG751" s="1362"/>
      <c r="AH751" s="1356" t="str">
        <f t="shared" si="37"/>
        <v/>
      </c>
      <c r="AI751" s="1357"/>
      <c r="AJ751" s="1358"/>
      <c r="AK751" s="1338" t="s">
        <v>591</v>
      </c>
      <c r="AL751" s="1339"/>
      <c r="AM751" s="1339"/>
      <c r="AN751" s="1339"/>
      <c r="AO751" s="1340"/>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3.0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7"/>
        <v/>
      </c>
      <c r="AI752" s="1357"/>
      <c r="AJ752" s="1358"/>
      <c r="AK752" s="1338" t="s">
        <v>591</v>
      </c>
      <c r="AL752" s="1339"/>
      <c r="AM752" s="1339"/>
      <c r="AN752" s="1339"/>
      <c r="AO752" s="1340"/>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t="str">
        <f t="shared" si="34"/>
        <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3.05" customHeight="1">
      <c r="A753"/>
      <c r="B753" s="1449" t="s">
        <v>125</v>
      </c>
      <c r="C753" s="1450"/>
      <c r="D753" s="1450"/>
      <c r="E753" s="1450"/>
      <c r="F753" s="1451"/>
      <c r="G753" s="1621">
        <f>SUM(G718:G752)</f>
        <v>101</v>
      </c>
      <c r="H753" s="1622"/>
      <c r="I753" s="1622"/>
      <c r="J753" s="1623"/>
      <c r="K753" s="903" t="s">
        <v>124</v>
      </c>
      <c r="L753" s="5"/>
      <c r="M753" s="5"/>
      <c r="N753" s="46"/>
      <c r="O753" s="1353">
        <f>SUMPRODUCT(G718:G752,O718:O752)</f>
        <v>172108</v>
      </c>
      <c r="P753" s="1354"/>
      <c r="Q753" s="1354"/>
      <c r="R753" s="1354"/>
      <c r="S753" s="1355"/>
      <c r="T753"/>
      <c r="U753"/>
      <c r="V753"/>
      <c r="W753"/>
      <c r="X753" s="905" t="s">
        <v>900</v>
      </c>
      <c r="Y753" s="904"/>
      <c r="Z753" s="904"/>
      <c r="AA753" s="904"/>
      <c r="AB753" s="906"/>
      <c r="AC753" s="1604">
        <f>BH753</f>
        <v>0.6</v>
      </c>
      <c r="AD753" s="1605"/>
      <c r="AE753" s="1605"/>
      <c r="AF753" s="1605"/>
      <c r="AG753" s="1606"/>
      <c r="AH753" s="1604">
        <f>IFERROR(BU753,"")</f>
        <v>0.56411525767961412</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101</v>
      </c>
      <c r="BG753" s="301">
        <f>SUM(BG718:BG752)</f>
        <v>1</v>
      </c>
      <c r="BH753" s="301">
        <f>SUM(BH718:BH752)</f>
        <v>0.6</v>
      </c>
      <c r="BI753"/>
      <c r="BJ753"/>
      <c r="BK753"/>
      <c r="BL753"/>
      <c r="BO753"/>
      <c r="BP753"/>
      <c r="BQ753"/>
      <c r="BR753"/>
      <c r="BS753" s="860">
        <f>SUM(BS718:BS752)</f>
        <v>101</v>
      </c>
      <c r="BT753" s="301">
        <f>SUM(BT718:BT752)</f>
        <v>1</v>
      </c>
      <c r="BU753" s="301">
        <f>SUM(BU718:BU752)</f>
        <v>0.56411525767961412</v>
      </c>
      <c r="CI753" s="1463">
        <f>SUM(CI718:CJ752)</f>
        <v>11</v>
      </c>
      <c r="CJ753" s="1464"/>
      <c r="CM753" s="1463">
        <f>SUM(CM718:CN752)</f>
        <v>11</v>
      </c>
      <c r="CN753" s="1464"/>
      <c r="CP753" s="1463">
        <f>SUM(CP718:CT752)</f>
        <v>0</v>
      </c>
      <c r="CQ753" s="1465"/>
      <c r="CR753" s="1465"/>
      <c r="CS753" s="1465"/>
      <c r="CT753" s="1464"/>
      <c r="CU753" s="1461">
        <f>SUM(CU718:CY752)</f>
        <v>0</v>
      </c>
      <c r="CV753" s="1461"/>
      <c r="CW753" s="1461"/>
      <c r="CX753" s="1461"/>
      <c r="CY753" s="1461"/>
      <c r="CZ753" s="1461">
        <f>SUM(CZ718:DD752)</f>
        <v>101</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0</v>
      </c>
      <c r="EA753" s="1461"/>
      <c r="EB753" s="1461"/>
      <c r="EC753" s="1461"/>
      <c r="ED753" s="1461"/>
      <c r="EE753" s="1461">
        <f>SUM(EE718:EI752)</f>
        <v>11</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0</v>
      </c>
      <c r="FF753" s="1461"/>
      <c r="FG753" s="1461"/>
      <c r="FH753" s="1461"/>
      <c r="FI753" s="1461"/>
      <c r="FJ753" s="1461">
        <f>SUM(FJ718:FN752)</f>
        <v>6071</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0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101</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202</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202</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461">
        <f>DU755</f>
        <v>202</v>
      </c>
      <c r="P756" s="1461"/>
      <c r="Q756" s="1461"/>
      <c r="R756" s="1461"/>
      <c r="S756" s="970"/>
      <c r="T756" s="970"/>
      <c r="U756" s="118" t="s">
        <v>1893</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363" t="s">
        <v>388</v>
      </c>
      <c r="K769" s="1364"/>
      <c r="L769" s="1364"/>
      <c r="M769" s="1364"/>
      <c r="N769" s="1365"/>
      <c r="O769" s="1619" t="s">
        <v>284</v>
      </c>
      <c r="P769" s="1619"/>
      <c r="Q769" s="1619"/>
      <c r="R769" s="1619"/>
      <c r="S769" s="1619"/>
      <c r="T769" s="1719" t="s">
        <v>1679</v>
      </c>
      <c r="U769" s="1720"/>
      <c r="V769" s="1720"/>
      <c r="W769" s="1721"/>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38" t="s">
        <v>163</v>
      </c>
      <c r="K773" s="1339"/>
      <c r="L773" s="1339"/>
      <c r="M773" s="1339"/>
      <c r="N773" s="1340"/>
      <c r="O773" s="1613">
        <v>1</v>
      </c>
      <c r="P773" s="1613"/>
      <c r="Q773" s="1613"/>
      <c r="R773" s="1613"/>
      <c r="S773" s="1613"/>
      <c r="T773" s="1344">
        <f>K718</f>
        <v>507</v>
      </c>
      <c r="U773" s="1345"/>
      <c r="V773" s="1345"/>
      <c r="W773" s="1346"/>
      <c r="X773" s="1341">
        <v>2200</v>
      </c>
      <c r="Y773" s="1342"/>
      <c r="Z773" s="1342"/>
      <c r="AA773" s="1342"/>
      <c r="AB773" s="1343"/>
      <c r="AC773" s="1353">
        <f>X773*O773</f>
        <v>2200</v>
      </c>
      <c r="AD773" s="1354"/>
      <c r="AE773" s="1354"/>
      <c r="AF773" s="1354"/>
      <c r="AG773" s="135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0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0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0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0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2200</v>
      </c>
      <c r="AD777" s="1354"/>
      <c r="AE777" s="1354"/>
      <c r="AF777" s="1354"/>
      <c r="AG777" s="135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0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363" t="s">
        <v>388</v>
      </c>
      <c r="K783" s="1364"/>
      <c r="L783" s="1364"/>
      <c r="M783" s="1364"/>
      <c r="N783" s="1365"/>
      <c r="O783" s="1619" t="s">
        <v>284</v>
      </c>
      <c r="P783" s="1619"/>
      <c r="Q783" s="1619"/>
      <c r="R783" s="1619"/>
      <c r="S783" s="1619"/>
      <c r="T783" s="1719" t="s">
        <v>1679</v>
      </c>
      <c r="U783" s="1720"/>
      <c r="V783" s="1720"/>
      <c r="W783" s="1721"/>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2">IF(J787="SRO/Studio",O787,0)</f>
        <v>0</v>
      </c>
      <c r="CQ787" s="1459"/>
      <c r="CR787" s="1459"/>
      <c r="CS787" s="1459"/>
      <c r="CT787" s="1460"/>
      <c r="CU787" s="1458">
        <f t="shared" ref="CU787:CU796" si="43">IF(J787="1 Bedroom",O787,0)</f>
        <v>0</v>
      </c>
      <c r="CV787" s="1459"/>
      <c r="CW787" s="1459"/>
      <c r="CX787" s="1459"/>
      <c r="CY787" s="1460"/>
      <c r="CZ787" s="1458">
        <f t="shared" ref="CZ787:CZ796" si="44">IF(J787="2 Bedrooms",O787,0)</f>
        <v>0</v>
      </c>
      <c r="DA787" s="1459"/>
      <c r="DB787" s="1459"/>
      <c r="DC787" s="1459"/>
      <c r="DD787" s="1460"/>
      <c r="DE787" s="1458">
        <f t="shared" ref="DE787:DE796" si="45">IF(J787="3 Bedrooms",O787,0)</f>
        <v>0</v>
      </c>
      <c r="DF787" s="1459"/>
      <c r="DG787" s="1459"/>
      <c r="DH787" s="1459"/>
      <c r="DI787" s="1460"/>
      <c r="DJ787" s="1458">
        <f t="shared" ref="DJ787:DJ796" si="46">IF(J787="4 Bedrooms",O787,0)</f>
        <v>0</v>
      </c>
      <c r="DK787" s="1459"/>
      <c r="DL787" s="1459"/>
      <c r="DM787" s="1459"/>
      <c r="DN787" s="1460"/>
      <c r="DO787" s="1458">
        <f t="shared" ref="DO787:DO796" si="47">IF(J787="5 Bedrooms",O787,0)</f>
        <v>0</v>
      </c>
      <c r="DP787" s="1459"/>
      <c r="DQ787" s="1459"/>
      <c r="DR787" s="1459"/>
      <c r="DS787" s="1460"/>
      <c r="DT787" s="6"/>
      <c r="DU787" s="1458">
        <f t="shared" ref="DU787:DU796" si="48">IF(AND(CP787&gt;=1,AH787&gt;=0.1,AH787&lt;=1),O787,0)</f>
        <v>0</v>
      </c>
      <c r="DV787" s="1459"/>
      <c r="DW787" s="1459"/>
      <c r="DX787" s="1459"/>
      <c r="DY787" s="1460"/>
      <c r="DZ787" s="1458">
        <f t="shared" ref="DZ787:DZ796" si="49">IF(AND(CU787&gt;=1,AH787&gt;=0.1,AH787&lt;=1),O787,0)</f>
        <v>0</v>
      </c>
      <c r="EA787" s="1459"/>
      <c r="EB787" s="1459"/>
      <c r="EC787" s="1459"/>
      <c r="ED787" s="1460"/>
      <c r="EE787" s="1458">
        <f t="shared" ref="EE787:EE796" si="50">IF(AND(CZ787&gt;=1,AH787&gt;=0.1,AH787&lt;=1),O787,0)</f>
        <v>0</v>
      </c>
      <c r="EF787" s="1459"/>
      <c r="EG787" s="1459"/>
      <c r="EH787" s="1459"/>
      <c r="EI787" s="1460"/>
      <c r="EJ787" s="1458">
        <f t="shared" ref="EJ787:EJ796" si="51">IF(AND(DE787&gt;=1,AH787&gt;=0.1,AH787&lt;=1),O787,0)</f>
        <v>0</v>
      </c>
      <c r="EK787" s="1459"/>
      <c r="EL787" s="1459"/>
      <c r="EM787" s="1459"/>
      <c r="EN787" s="1460"/>
      <c r="EO787" s="1458">
        <f t="shared" ref="EO787:EO796" si="52">IF(AND(DJ787&gt;=1,AH787&gt;=0.1,AH787&lt;=1),O787,0)</f>
        <v>0</v>
      </c>
      <c r="EP787" s="1459"/>
      <c r="EQ787" s="1459"/>
      <c r="ER787" s="1459"/>
      <c r="ES787" s="1460"/>
      <c r="ET787" s="1458">
        <f t="shared" ref="ET787:ET796" si="53">IF(AND(DO787&gt;=1,AH787&gt;=0.1,AH787&lt;=1),O787,0)</f>
        <v>0</v>
      </c>
      <c r="EU787" s="1459"/>
      <c r="EV787" s="1459"/>
      <c r="EW787" s="1459"/>
      <c r="EX787" s="1460"/>
    </row>
    <row r="788" spans="1:154" s="14" customFormat="1" ht="13.0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2"/>
        <v>0</v>
      </c>
      <c r="CQ788" s="1459"/>
      <c r="CR788" s="1459"/>
      <c r="CS788" s="1459"/>
      <c r="CT788" s="1460"/>
      <c r="CU788" s="1458">
        <f t="shared" si="43"/>
        <v>0</v>
      </c>
      <c r="CV788" s="1459"/>
      <c r="CW788" s="1459"/>
      <c r="CX788" s="1459"/>
      <c r="CY788" s="1460"/>
      <c r="CZ788" s="1458">
        <f t="shared" si="44"/>
        <v>0</v>
      </c>
      <c r="DA788" s="1459"/>
      <c r="DB788" s="1459"/>
      <c r="DC788" s="1459"/>
      <c r="DD788" s="1460"/>
      <c r="DE788" s="1458">
        <f t="shared" si="45"/>
        <v>0</v>
      </c>
      <c r="DF788" s="1459"/>
      <c r="DG788" s="1459"/>
      <c r="DH788" s="1459"/>
      <c r="DI788" s="1460"/>
      <c r="DJ788" s="1458">
        <f t="shared" si="46"/>
        <v>0</v>
      </c>
      <c r="DK788" s="1459"/>
      <c r="DL788" s="1459"/>
      <c r="DM788" s="1459"/>
      <c r="DN788" s="1460"/>
      <c r="DO788" s="1458">
        <f t="shared" si="47"/>
        <v>0</v>
      </c>
      <c r="DP788" s="1459"/>
      <c r="DQ788" s="1459"/>
      <c r="DR788" s="1459"/>
      <c r="DS788" s="1460"/>
      <c r="DT788" s="6"/>
      <c r="DU788" s="1458">
        <f t="shared" si="48"/>
        <v>0</v>
      </c>
      <c r="DV788" s="1459"/>
      <c r="DW788" s="1459"/>
      <c r="DX788" s="1459"/>
      <c r="DY788" s="1460"/>
      <c r="DZ788" s="1458">
        <f t="shared" si="49"/>
        <v>0</v>
      </c>
      <c r="EA788" s="1459"/>
      <c r="EB788" s="1459"/>
      <c r="EC788" s="1459"/>
      <c r="ED788" s="1460"/>
      <c r="EE788" s="1458">
        <f t="shared" si="50"/>
        <v>0</v>
      </c>
      <c r="EF788" s="1459"/>
      <c r="EG788" s="1459"/>
      <c r="EH788" s="1459"/>
      <c r="EI788" s="1460"/>
      <c r="EJ788" s="1458">
        <f t="shared" si="51"/>
        <v>0</v>
      </c>
      <c r="EK788" s="1459"/>
      <c r="EL788" s="1459"/>
      <c r="EM788" s="1459"/>
      <c r="EN788" s="1460"/>
      <c r="EO788" s="1458">
        <f t="shared" si="52"/>
        <v>0</v>
      </c>
      <c r="EP788" s="1459"/>
      <c r="EQ788" s="1459"/>
      <c r="ER788" s="1459"/>
      <c r="ES788" s="1460"/>
      <c r="ET788" s="1458">
        <f t="shared" si="53"/>
        <v>0</v>
      </c>
      <c r="EU788" s="1459"/>
      <c r="EV788" s="1459"/>
      <c r="EW788" s="1459"/>
      <c r="EX788" s="1460"/>
    </row>
    <row r="789" spans="1:154" s="14" customFormat="1" ht="13.0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2"/>
        <v>0</v>
      </c>
      <c r="CQ789" s="1459"/>
      <c r="CR789" s="1459"/>
      <c r="CS789" s="1459"/>
      <c r="CT789" s="1460"/>
      <c r="CU789" s="1458">
        <f t="shared" si="43"/>
        <v>0</v>
      </c>
      <c r="CV789" s="1459"/>
      <c r="CW789" s="1459"/>
      <c r="CX789" s="1459"/>
      <c r="CY789" s="1460"/>
      <c r="CZ789" s="1458">
        <f t="shared" si="44"/>
        <v>0</v>
      </c>
      <c r="DA789" s="1459"/>
      <c r="DB789" s="1459"/>
      <c r="DC789" s="1459"/>
      <c r="DD789" s="1460"/>
      <c r="DE789" s="1458">
        <f t="shared" si="45"/>
        <v>0</v>
      </c>
      <c r="DF789" s="1459"/>
      <c r="DG789" s="1459"/>
      <c r="DH789" s="1459"/>
      <c r="DI789" s="1460"/>
      <c r="DJ789" s="1458">
        <f t="shared" si="46"/>
        <v>0</v>
      </c>
      <c r="DK789" s="1459"/>
      <c r="DL789" s="1459"/>
      <c r="DM789" s="1459"/>
      <c r="DN789" s="1460"/>
      <c r="DO789" s="1458">
        <f t="shared" si="47"/>
        <v>0</v>
      </c>
      <c r="DP789" s="1459"/>
      <c r="DQ789" s="1459"/>
      <c r="DR789" s="1459"/>
      <c r="DS789" s="1460"/>
      <c r="DT789" s="6"/>
      <c r="DU789" s="1458">
        <f t="shared" si="48"/>
        <v>0</v>
      </c>
      <c r="DV789" s="1459"/>
      <c r="DW789" s="1459"/>
      <c r="DX789" s="1459"/>
      <c r="DY789" s="1460"/>
      <c r="DZ789" s="1458">
        <f t="shared" si="49"/>
        <v>0</v>
      </c>
      <c r="EA789" s="1459"/>
      <c r="EB789" s="1459"/>
      <c r="EC789" s="1459"/>
      <c r="ED789" s="1460"/>
      <c r="EE789" s="1458">
        <f t="shared" si="50"/>
        <v>0</v>
      </c>
      <c r="EF789" s="1459"/>
      <c r="EG789" s="1459"/>
      <c r="EH789" s="1459"/>
      <c r="EI789" s="1460"/>
      <c r="EJ789" s="1458">
        <f t="shared" si="51"/>
        <v>0</v>
      </c>
      <c r="EK789" s="1459"/>
      <c r="EL789" s="1459"/>
      <c r="EM789" s="1459"/>
      <c r="EN789" s="1460"/>
      <c r="EO789" s="1458">
        <f t="shared" si="52"/>
        <v>0</v>
      </c>
      <c r="EP789" s="1459"/>
      <c r="EQ789" s="1459"/>
      <c r="ER789" s="1459"/>
      <c r="ES789" s="1460"/>
      <c r="ET789" s="1458">
        <f t="shared" si="53"/>
        <v>0</v>
      </c>
      <c r="EU789" s="1459"/>
      <c r="EV789" s="1459"/>
      <c r="EW789" s="1459"/>
      <c r="EX789" s="1460"/>
    </row>
    <row r="790" spans="1:154" s="14" customFormat="1" ht="13.0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2"/>
        <v>0</v>
      </c>
      <c r="CQ790" s="1459"/>
      <c r="CR790" s="1459"/>
      <c r="CS790" s="1459"/>
      <c r="CT790" s="1460"/>
      <c r="CU790" s="1458">
        <f t="shared" si="43"/>
        <v>0</v>
      </c>
      <c r="CV790" s="1459"/>
      <c r="CW790" s="1459"/>
      <c r="CX790" s="1459"/>
      <c r="CY790" s="1460"/>
      <c r="CZ790" s="1458">
        <f t="shared" si="44"/>
        <v>0</v>
      </c>
      <c r="DA790" s="1459"/>
      <c r="DB790" s="1459"/>
      <c r="DC790" s="1459"/>
      <c r="DD790" s="1460"/>
      <c r="DE790" s="1458">
        <f t="shared" si="45"/>
        <v>0</v>
      </c>
      <c r="DF790" s="1459"/>
      <c r="DG790" s="1459"/>
      <c r="DH790" s="1459"/>
      <c r="DI790" s="1460"/>
      <c r="DJ790" s="1458">
        <f t="shared" si="46"/>
        <v>0</v>
      </c>
      <c r="DK790" s="1459"/>
      <c r="DL790" s="1459"/>
      <c r="DM790" s="1459"/>
      <c r="DN790" s="1460"/>
      <c r="DO790" s="1458">
        <f t="shared" si="47"/>
        <v>0</v>
      </c>
      <c r="DP790" s="1459"/>
      <c r="DQ790" s="1459"/>
      <c r="DR790" s="1459"/>
      <c r="DS790" s="1460"/>
      <c r="DT790" s="6"/>
      <c r="DU790" s="1458">
        <f t="shared" si="48"/>
        <v>0</v>
      </c>
      <c r="DV790" s="1459"/>
      <c r="DW790" s="1459"/>
      <c r="DX790" s="1459"/>
      <c r="DY790" s="1460"/>
      <c r="DZ790" s="1458">
        <f t="shared" si="49"/>
        <v>0</v>
      </c>
      <c r="EA790" s="1459"/>
      <c r="EB790" s="1459"/>
      <c r="EC790" s="1459"/>
      <c r="ED790" s="1460"/>
      <c r="EE790" s="1458">
        <f t="shared" si="50"/>
        <v>0</v>
      </c>
      <c r="EF790" s="1459"/>
      <c r="EG790" s="1459"/>
      <c r="EH790" s="1459"/>
      <c r="EI790" s="1460"/>
      <c r="EJ790" s="1458">
        <f t="shared" si="51"/>
        <v>0</v>
      </c>
      <c r="EK790" s="1459"/>
      <c r="EL790" s="1459"/>
      <c r="EM790" s="1459"/>
      <c r="EN790" s="1460"/>
      <c r="EO790" s="1458">
        <f t="shared" si="52"/>
        <v>0</v>
      </c>
      <c r="EP790" s="1459"/>
      <c r="EQ790" s="1459"/>
      <c r="ER790" s="1459"/>
      <c r="ES790" s="1460"/>
      <c r="ET790" s="1458">
        <f t="shared" si="53"/>
        <v>0</v>
      </c>
      <c r="EU790" s="1459"/>
      <c r="EV790" s="1459"/>
      <c r="EW790" s="1459"/>
      <c r="EX790" s="1460"/>
    </row>
    <row r="791" spans="1:154" s="14" customFormat="1" ht="13.0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2"/>
        <v>0</v>
      </c>
      <c r="CQ791" s="1459"/>
      <c r="CR791" s="1459"/>
      <c r="CS791" s="1459"/>
      <c r="CT791" s="1460"/>
      <c r="CU791" s="1458">
        <f t="shared" si="43"/>
        <v>0</v>
      </c>
      <c r="CV791" s="1459"/>
      <c r="CW791" s="1459"/>
      <c r="CX791" s="1459"/>
      <c r="CY791" s="1460"/>
      <c r="CZ791" s="1458">
        <f t="shared" si="44"/>
        <v>0</v>
      </c>
      <c r="DA791" s="1459"/>
      <c r="DB791" s="1459"/>
      <c r="DC791" s="1459"/>
      <c r="DD791" s="1460"/>
      <c r="DE791" s="1458">
        <f t="shared" si="45"/>
        <v>0</v>
      </c>
      <c r="DF791" s="1459"/>
      <c r="DG791" s="1459"/>
      <c r="DH791" s="1459"/>
      <c r="DI791" s="1460"/>
      <c r="DJ791" s="1458">
        <f t="shared" si="46"/>
        <v>0</v>
      </c>
      <c r="DK791" s="1459"/>
      <c r="DL791" s="1459"/>
      <c r="DM791" s="1459"/>
      <c r="DN791" s="1460"/>
      <c r="DO791" s="1458">
        <f t="shared" si="47"/>
        <v>0</v>
      </c>
      <c r="DP791" s="1459"/>
      <c r="DQ791" s="1459"/>
      <c r="DR791" s="1459"/>
      <c r="DS791" s="1460"/>
      <c r="DT791" s="6"/>
      <c r="DU791" s="1458">
        <f t="shared" si="48"/>
        <v>0</v>
      </c>
      <c r="DV791" s="1459"/>
      <c r="DW791" s="1459"/>
      <c r="DX791" s="1459"/>
      <c r="DY791" s="1460"/>
      <c r="DZ791" s="1458">
        <f t="shared" si="49"/>
        <v>0</v>
      </c>
      <c r="EA791" s="1459"/>
      <c r="EB791" s="1459"/>
      <c r="EC791" s="1459"/>
      <c r="ED791" s="1460"/>
      <c r="EE791" s="1458">
        <f t="shared" si="50"/>
        <v>0</v>
      </c>
      <c r="EF791" s="1459"/>
      <c r="EG791" s="1459"/>
      <c r="EH791" s="1459"/>
      <c r="EI791" s="1460"/>
      <c r="EJ791" s="1458">
        <f t="shared" si="51"/>
        <v>0</v>
      </c>
      <c r="EK791" s="1459"/>
      <c r="EL791" s="1459"/>
      <c r="EM791" s="1459"/>
      <c r="EN791" s="1460"/>
      <c r="EO791" s="1458">
        <f t="shared" si="52"/>
        <v>0</v>
      </c>
      <c r="EP791" s="1459"/>
      <c r="EQ791" s="1459"/>
      <c r="ER791" s="1459"/>
      <c r="ES791" s="1460"/>
      <c r="ET791" s="1458">
        <f t="shared" si="53"/>
        <v>0</v>
      </c>
      <c r="EU791" s="1459"/>
      <c r="EV791" s="1459"/>
      <c r="EW791" s="1459"/>
      <c r="EX791" s="1460"/>
    </row>
    <row r="792" spans="1:154" s="14" customFormat="1" ht="13.0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2"/>
        <v>0</v>
      </c>
      <c r="CQ792" s="1459"/>
      <c r="CR792" s="1459"/>
      <c r="CS792" s="1459"/>
      <c r="CT792" s="1460"/>
      <c r="CU792" s="1458">
        <f t="shared" si="43"/>
        <v>0</v>
      </c>
      <c r="CV792" s="1459"/>
      <c r="CW792" s="1459"/>
      <c r="CX792" s="1459"/>
      <c r="CY792" s="1460"/>
      <c r="CZ792" s="1458">
        <f t="shared" si="44"/>
        <v>0</v>
      </c>
      <c r="DA792" s="1459"/>
      <c r="DB792" s="1459"/>
      <c r="DC792" s="1459"/>
      <c r="DD792" s="1460"/>
      <c r="DE792" s="1458">
        <f t="shared" si="45"/>
        <v>0</v>
      </c>
      <c r="DF792" s="1459"/>
      <c r="DG792" s="1459"/>
      <c r="DH792" s="1459"/>
      <c r="DI792" s="1460"/>
      <c r="DJ792" s="1458">
        <f t="shared" si="46"/>
        <v>0</v>
      </c>
      <c r="DK792" s="1459"/>
      <c r="DL792" s="1459"/>
      <c r="DM792" s="1459"/>
      <c r="DN792" s="1460"/>
      <c r="DO792" s="1458">
        <f t="shared" si="47"/>
        <v>0</v>
      </c>
      <c r="DP792" s="1459"/>
      <c r="DQ792" s="1459"/>
      <c r="DR792" s="1459"/>
      <c r="DS792" s="1460"/>
      <c r="DT792" s="6"/>
      <c r="DU792" s="1458">
        <f t="shared" si="48"/>
        <v>0</v>
      </c>
      <c r="DV792" s="1459"/>
      <c r="DW792" s="1459"/>
      <c r="DX792" s="1459"/>
      <c r="DY792" s="1460"/>
      <c r="DZ792" s="1458">
        <f t="shared" si="49"/>
        <v>0</v>
      </c>
      <c r="EA792" s="1459"/>
      <c r="EB792" s="1459"/>
      <c r="EC792" s="1459"/>
      <c r="ED792" s="1460"/>
      <c r="EE792" s="1458">
        <f t="shared" si="50"/>
        <v>0</v>
      </c>
      <c r="EF792" s="1459"/>
      <c r="EG792" s="1459"/>
      <c r="EH792" s="1459"/>
      <c r="EI792" s="1460"/>
      <c r="EJ792" s="1458">
        <f t="shared" si="51"/>
        <v>0</v>
      </c>
      <c r="EK792" s="1459"/>
      <c r="EL792" s="1459"/>
      <c r="EM792" s="1459"/>
      <c r="EN792" s="1460"/>
      <c r="EO792" s="1458">
        <f t="shared" si="52"/>
        <v>0</v>
      </c>
      <c r="EP792" s="1459"/>
      <c r="EQ792" s="1459"/>
      <c r="ER792" s="1459"/>
      <c r="ES792" s="1460"/>
      <c r="ET792" s="1458">
        <f t="shared" si="53"/>
        <v>0</v>
      </c>
      <c r="EU792" s="1459"/>
      <c r="EV792" s="1459"/>
      <c r="EW792" s="1459"/>
      <c r="EX792" s="1460"/>
    </row>
    <row r="793" spans="1:154" s="14" customFormat="1" ht="13.0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2"/>
        <v>0</v>
      </c>
      <c r="CQ793" s="1459"/>
      <c r="CR793" s="1459"/>
      <c r="CS793" s="1459"/>
      <c r="CT793" s="1460"/>
      <c r="CU793" s="1458">
        <f t="shared" si="43"/>
        <v>0</v>
      </c>
      <c r="CV793" s="1459"/>
      <c r="CW793" s="1459"/>
      <c r="CX793" s="1459"/>
      <c r="CY793" s="1460"/>
      <c r="CZ793" s="1458">
        <f t="shared" si="44"/>
        <v>0</v>
      </c>
      <c r="DA793" s="1459"/>
      <c r="DB793" s="1459"/>
      <c r="DC793" s="1459"/>
      <c r="DD793" s="1460"/>
      <c r="DE793" s="1458">
        <f t="shared" si="45"/>
        <v>0</v>
      </c>
      <c r="DF793" s="1459"/>
      <c r="DG793" s="1459"/>
      <c r="DH793" s="1459"/>
      <c r="DI793" s="1460"/>
      <c r="DJ793" s="1458">
        <f t="shared" si="46"/>
        <v>0</v>
      </c>
      <c r="DK793" s="1459"/>
      <c r="DL793" s="1459"/>
      <c r="DM793" s="1459"/>
      <c r="DN793" s="1460"/>
      <c r="DO793" s="1458">
        <f t="shared" si="47"/>
        <v>0</v>
      </c>
      <c r="DP793" s="1459"/>
      <c r="DQ793" s="1459"/>
      <c r="DR793" s="1459"/>
      <c r="DS793" s="1460"/>
      <c r="DT793" s="6"/>
      <c r="DU793" s="1458">
        <f t="shared" si="48"/>
        <v>0</v>
      </c>
      <c r="DV793" s="1459"/>
      <c r="DW793" s="1459"/>
      <c r="DX793" s="1459"/>
      <c r="DY793" s="1460"/>
      <c r="DZ793" s="1458">
        <f t="shared" si="49"/>
        <v>0</v>
      </c>
      <c r="EA793" s="1459"/>
      <c r="EB793" s="1459"/>
      <c r="EC793" s="1459"/>
      <c r="ED793" s="1460"/>
      <c r="EE793" s="1458">
        <f t="shared" si="50"/>
        <v>0</v>
      </c>
      <c r="EF793" s="1459"/>
      <c r="EG793" s="1459"/>
      <c r="EH793" s="1459"/>
      <c r="EI793" s="1460"/>
      <c r="EJ793" s="1458">
        <f t="shared" si="51"/>
        <v>0</v>
      </c>
      <c r="EK793" s="1459"/>
      <c r="EL793" s="1459"/>
      <c r="EM793" s="1459"/>
      <c r="EN793" s="1460"/>
      <c r="EO793" s="1458">
        <f t="shared" si="52"/>
        <v>0</v>
      </c>
      <c r="EP793" s="1459"/>
      <c r="EQ793" s="1459"/>
      <c r="ER793" s="1459"/>
      <c r="ES793" s="1460"/>
      <c r="ET793" s="1458">
        <f t="shared" si="53"/>
        <v>0</v>
      </c>
      <c r="EU793" s="1459"/>
      <c r="EV793" s="1459"/>
      <c r="EW793" s="1459"/>
      <c r="EX793" s="1460"/>
    </row>
    <row r="794" spans="1:154" s="14" customFormat="1" ht="13.0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2"/>
        <v>0</v>
      </c>
      <c r="CQ794" s="1459"/>
      <c r="CR794" s="1459"/>
      <c r="CS794" s="1459"/>
      <c r="CT794" s="1460"/>
      <c r="CU794" s="1458">
        <f t="shared" si="43"/>
        <v>0</v>
      </c>
      <c r="CV794" s="1459"/>
      <c r="CW794" s="1459"/>
      <c r="CX794" s="1459"/>
      <c r="CY794" s="1460"/>
      <c r="CZ794" s="1458">
        <f t="shared" si="44"/>
        <v>0</v>
      </c>
      <c r="DA794" s="1459"/>
      <c r="DB794" s="1459"/>
      <c r="DC794" s="1459"/>
      <c r="DD794" s="1460"/>
      <c r="DE794" s="1458">
        <f t="shared" si="45"/>
        <v>0</v>
      </c>
      <c r="DF794" s="1459"/>
      <c r="DG794" s="1459"/>
      <c r="DH794" s="1459"/>
      <c r="DI794" s="1460"/>
      <c r="DJ794" s="1458">
        <f t="shared" si="46"/>
        <v>0</v>
      </c>
      <c r="DK794" s="1459"/>
      <c r="DL794" s="1459"/>
      <c r="DM794" s="1459"/>
      <c r="DN794" s="1460"/>
      <c r="DO794" s="1458">
        <f t="shared" si="47"/>
        <v>0</v>
      </c>
      <c r="DP794" s="1459"/>
      <c r="DQ794" s="1459"/>
      <c r="DR794" s="1459"/>
      <c r="DS794" s="1460"/>
      <c r="DT794" s="6"/>
      <c r="DU794" s="1458">
        <f t="shared" si="48"/>
        <v>0</v>
      </c>
      <c r="DV794" s="1459"/>
      <c r="DW794" s="1459"/>
      <c r="DX794" s="1459"/>
      <c r="DY794" s="1460"/>
      <c r="DZ794" s="1458">
        <f t="shared" si="49"/>
        <v>0</v>
      </c>
      <c r="EA794" s="1459"/>
      <c r="EB794" s="1459"/>
      <c r="EC794" s="1459"/>
      <c r="ED794" s="1460"/>
      <c r="EE794" s="1458">
        <f t="shared" si="50"/>
        <v>0</v>
      </c>
      <c r="EF794" s="1459"/>
      <c r="EG794" s="1459"/>
      <c r="EH794" s="1459"/>
      <c r="EI794" s="1460"/>
      <c r="EJ794" s="1458">
        <f t="shared" si="51"/>
        <v>0</v>
      </c>
      <c r="EK794" s="1459"/>
      <c r="EL794" s="1459"/>
      <c r="EM794" s="1459"/>
      <c r="EN794" s="1460"/>
      <c r="EO794" s="1458">
        <f t="shared" si="52"/>
        <v>0</v>
      </c>
      <c r="EP794" s="1459"/>
      <c r="EQ794" s="1459"/>
      <c r="ER794" s="1459"/>
      <c r="ES794" s="1460"/>
      <c r="ET794" s="1458">
        <f t="shared" si="53"/>
        <v>0</v>
      </c>
      <c r="EU794" s="1459"/>
      <c r="EV794" s="1459"/>
      <c r="EW794" s="1459"/>
      <c r="EX794" s="1460"/>
    </row>
    <row r="795" spans="1:154" s="14" customFormat="1" ht="13.0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2"/>
        <v>0</v>
      </c>
      <c r="CQ795" s="1459"/>
      <c r="CR795" s="1459"/>
      <c r="CS795" s="1459"/>
      <c r="CT795" s="1460"/>
      <c r="CU795" s="1458">
        <f t="shared" si="43"/>
        <v>0</v>
      </c>
      <c r="CV795" s="1459"/>
      <c r="CW795" s="1459"/>
      <c r="CX795" s="1459"/>
      <c r="CY795" s="1460"/>
      <c r="CZ795" s="1458">
        <f t="shared" si="44"/>
        <v>0</v>
      </c>
      <c r="DA795" s="1459"/>
      <c r="DB795" s="1459"/>
      <c r="DC795" s="1459"/>
      <c r="DD795" s="1460"/>
      <c r="DE795" s="1458">
        <f t="shared" si="45"/>
        <v>0</v>
      </c>
      <c r="DF795" s="1459"/>
      <c r="DG795" s="1459"/>
      <c r="DH795" s="1459"/>
      <c r="DI795" s="1460"/>
      <c r="DJ795" s="1458">
        <f t="shared" si="46"/>
        <v>0</v>
      </c>
      <c r="DK795" s="1459"/>
      <c r="DL795" s="1459"/>
      <c r="DM795" s="1459"/>
      <c r="DN795" s="1460"/>
      <c r="DO795" s="1458">
        <f t="shared" si="47"/>
        <v>0</v>
      </c>
      <c r="DP795" s="1459"/>
      <c r="DQ795" s="1459"/>
      <c r="DR795" s="1459"/>
      <c r="DS795" s="1460"/>
      <c r="DT795" s="6"/>
      <c r="DU795" s="1458">
        <f t="shared" si="48"/>
        <v>0</v>
      </c>
      <c r="DV795" s="1459"/>
      <c r="DW795" s="1459"/>
      <c r="DX795" s="1459"/>
      <c r="DY795" s="1460"/>
      <c r="DZ795" s="1458">
        <f t="shared" si="49"/>
        <v>0</v>
      </c>
      <c r="EA795" s="1459"/>
      <c r="EB795" s="1459"/>
      <c r="EC795" s="1459"/>
      <c r="ED795" s="1460"/>
      <c r="EE795" s="1458">
        <f t="shared" si="50"/>
        <v>0</v>
      </c>
      <c r="EF795" s="1459"/>
      <c r="EG795" s="1459"/>
      <c r="EH795" s="1459"/>
      <c r="EI795" s="1460"/>
      <c r="EJ795" s="1458">
        <f t="shared" si="51"/>
        <v>0</v>
      </c>
      <c r="EK795" s="1459"/>
      <c r="EL795" s="1459"/>
      <c r="EM795" s="1459"/>
      <c r="EN795" s="1460"/>
      <c r="EO795" s="1458">
        <f t="shared" si="52"/>
        <v>0</v>
      </c>
      <c r="EP795" s="1459"/>
      <c r="EQ795" s="1459"/>
      <c r="ER795" s="1459"/>
      <c r="ES795" s="1460"/>
      <c r="ET795" s="1458">
        <f t="shared" si="53"/>
        <v>0</v>
      </c>
      <c r="EU795" s="1459"/>
      <c r="EV795" s="1459"/>
      <c r="EW795" s="1459"/>
      <c r="EX795" s="1460"/>
    </row>
    <row r="796" spans="1:154" s="4" customFormat="1" ht="13.0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8">
        <f t="shared" si="42"/>
        <v>0</v>
      </c>
      <c r="CQ796" s="1459"/>
      <c r="CR796" s="1459"/>
      <c r="CS796" s="1459"/>
      <c r="CT796" s="1460"/>
      <c r="CU796" s="1458">
        <f t="shared" si="43"/>
        <v>0</v>
      </c>
      <c r="CV796" s="1459"/>
      <c r="CW796" s="1459"/>
      <c r="CX796" s="1459"/>
      <c r="CY796" s="1460"/>
      <c r="CZ796" s="1458">
        <f t="shared" si="44"/>
        <v>0</v>
      </c>
      <c r="DA796" s="1459"/>
      <c r="DB796" s="1459"/>
      <c r="DC796" s="1459"/>
      <c r="DD796" s="1460"/>
      <c r="DE796" s="1458">
        <f t="shared" si="45"/>
        <v>0</v>
      </c>
      <c r="DF796" s="1459"/>
      <c r="DG796" s="1459"/>
      <c r="DH796" s="1459"/>
      <c r="DI796" s="1460"/>
      <c r="DJ796" s="1458">
        <f t="shared" si="46"/>
        <v>0</v>
      </c>
      <c r="DK796" s="1459"/>
      <c r="DL796" s="1459"/>
      <c r="DM796" s="1459"/>
      <c r="DN796" s="1460"/>
      <c r="DO796" s="1458">
        <f t="shared" si="47"/>
        <v>0</v>
      </c>
      <c r="DP796" s="1459"/>
      <c r="DQ796" s="1459"/>
      <c r="DR796" s="1459"/>
      <c r="DS796" s="1460"/>
      <c r="DT796" s="6"/>
      <c r="DU796" s="1458">
        <f t="shared" si="48"/>
        <v>0</v>
      </c>
      <c r="DV796" s="1459"/>
      <c r="DW796" s="1459"/>
      <c r="DX796" s="1459"/>
      <c r="DY796" s="1460"/>
      <c r="DZ796" s="1458">
        <f t="shared" si="49"/>
        <v>0</v>
      </c>
      <c r="EA796" s="1459"/>
      <c r="EB796" s="1459"/>
      <c r="EC796" s="1459"/>
      <c r="ED796" s="1460"/>
      <c r="EE796" s="1458">
        <f t="shared" si="50"/>
        <v>0</v>
      </c>
      <c r="EF796" s="1459"/>
      <c r="EG796" s="1459"/>
      <c r="EH796" s="1459"/>
      <c r="EI796" s="1460"/>
      <c r="EJ796" s="1458">
        <f t="shared" si="51"/>
        <v>0</v>
      </c>
      <c r="EK796" s="1459"/>
      <c r="EL796" s="1459"/>
      <c r="EM796" s="1459"/>
      <c r="EN796" s="1460"/>
      <c r="EO796" s="1458">
        <f t="shared" si="52"/>
        <v>0</v>
      </c>
      <c r="EP796" s="1459"/>
      <c r="EQ796" s="1459"/>
      <c r="ER796" s="1459"/>
      <c r="ES796" s="1460"/>
      <c r="ET796" s="1458">
        <f t="shared" si="53"/>
        <v>0</v>
      </c>
      <c r="EU796" s="1459"/>
      <c r="EV796" s="1459"/>
      <c r="EW796" s="1459"/>
      <c r="EX796" s="1460"/>
    </row>
    <row r="797" spans="1:154" s="4" customFormat="1" ht="13.0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0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174308</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2091696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0</v>
      </c>
      <c r="CV802" s="1473"/>
      <c r="CW802" s="1473"/>
      <c r="CX802" s="1473"/>
      <c r="CY802" s="1474"/>
      <c r="CZ802" s="1472">
        <f>CZ753+CZ777+CZ797</f>
        <v>102</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202</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f>55*12*102-Z816</f>
        <v>59520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93" t="s">
        <v>2701</v>
      </c>
      <c r="Q816" s="1594"/>
      <c r="R816" s="1594"/>
      <c r="S816" s="1594"/>
      <c r="T816" s="1594"/>
      <c r="U816" s="1594"/>
      <c r="V816" s="1594"/>
      <c r="W816" s="1594"/>
      <c r="X816" s="1594"/>
      <c r="Y816" s="1595"/>
      <c r="Z816" s="1466">
        <v>7800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67320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2159016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48" t="s">
        <v>40</v>
      </c>
      <c r="D825" s="1359"/>
      <c r="E825" s="1359"/>
      <c r="F825" s="1359"/>
      <c r="G825" s="1359"/>
      <c r="H825" s="1359"/>
      <c r="I825" s="48"/>
      <c r="J825" s="48"/>
      <c r="K825" s="48"/>
      <c r="L825" s="49"/>
      <c r="M825" s="1642"/>
      <c r="N825" s="1642"/>
      <c r="O825" s="1642"/>
      <c r="P825" s="1642"/>
      <c r="Q825" s="1642">
        <v>8</v>
      </c>
      <c r="R825" s="1642"/>
      <c r="S825" s="1642"/>
      <c r="T825" s="1642"/>
      <c r="U825" s="1642">
        <v>11</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4</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625" t="s">
        <v>459</v>
      </c>
      <c r="D829" s="1626"/>
      <c r="E829" s="1626"/>
      <c r="F829" s="1626"/>
      <c r="G829" s="1626"/>
      <c r="H829" s="1626"/>
      <c r="I829" s="60"/>
      <c r="J829" s="60"/>
      <c r="K829" s="60"/>
      <c r="L829" s="61"/>
      <c r="M829" s="1642"/>
      <c r="N829" s="1642"/>
      <c r="O829" s="1642"/>
      <c r="P829" s="1642"/>
      <c r="Q829" s="1642">
        <v>22</v>
      </c>
      <c r="R829" s="1642"/>
      <c r="S829" s="1642"/>
      <c r="T829" s="1642"/>
      <c r="U829" s="1642">
        <v>28</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593" t="s">
        <v>2702</v>
      </c>
      <c r="G831" s="1594"/>
      <c r="H831" s="1594"/>
      <c r="I831" s="1594"/>
      <c r="J831" s="1594"/>
      <c r="K831" s="1594"/>
      <c r="L831" s="1594"/>
      <c r="M831" s="1642"/>
      <c r="N831" s="1642"/>
      <c r="O831" s="1642"/>
      <c r="P831" s="1642"/>
      <c r="Q831" s="1642">
        <v>10</v>
      </c>
      <c r="R831" s="1642"/>
      <c r="S831" s="1642"/>
      <c r="T831" s="1642"/>
      <c r="U831" s="1642">
        <v>13</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43</v>
      </c>
      <c r="R832" s="1636"/>
      <c r="S832" s="1636"/>
      <c r="T832" s="1636"/>
      <c r="U832" s="1636">
        <f>SUM(U825:X831)</f>
        <v>56</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706" t="s">
        <v>2703</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481">
        <v>8160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481">
        <v>8500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05" customHeight="1">
      <c r="J846" s="45" t="s">
        <v>169</v>
      </c>
      <c r="K846" s="5"/>
      <c r="L846" s="5"/>
      <c r="M846" s="1593" t="s">
        <v>2704</v>
      </c>
      <c r="N846" s="1594"/>
      <c r="O846" s="1594"/>
      <c r="P846" s="1594"/>
      <c r="Q846" s="1594"/>
      <c r="R846" s="1594"/>
      <c r="S846" s="1594"/>
      <c r="T846" s="1594"/>
      <c r="U846" s="1594"/>
      <c r="V846" s="1595"/>
      <c r="W846" s="1481">
        <f>45286+7140</f>
        <v>52426</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615">
        <f>SUM(W842:AC846)</f>
        <v>74086</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28"/>
      <c r="BH848" s="1628"/>
      <c r="BI848" s="1628"/>
      <c r="BJ848" s="1628"/>
      <c r="BK848" s="1628"/>
      <c r="BL848" s="1628"/>
    </row>
    <row r="849" spans="3:55" ht="13.05" customHeight="1">
      <c r="C849" s="2" t="s">
        <v>343</v>
      </c>
      <c r="J849" s="1449" t="s">
        <v>344</v>
      </c>
      <c r="K849" s="1450"/>
      <c r="L849" s="1450"/>
      <c r="M849" s="1450"/>
      <c r="N849" s="1450"/>
      <c r="O849" s="1450"/>
      <c r="P849" s="1450"/>
      <c r="Q849" s="1450"/>
      <c r="R849" s="1450"/>
      <c r="S849" s="1450"/>
      <c r="T849" s="1450"/>
      <c r="U849" s="1450"/>
      <c r="V849" s="1451"/>
      <c r="W849" s="1466">
        <v>88436</v>
      </c>
      <c r="X849" s="1467"/>
      <c r="Y849" s="1467"/>
      <c r="Z849" s="1467"/>
      <c r="AA849" s="1467"/>
      <c r="AB849" s="1467"/>
      <c r="AC849" s="1468"/>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0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05" customHeight="1">
      <c r="J853" s="45" t="s">
        <v>459</v>
      </c>
      <c r="K853" s="5"/>
      <c r="L853" s="5"/>
      <c r="M853" s="5"/>
      <c r="N853" s="5"/>
      <c r="O853" s="5"/>
      <c r="P853" s="5"/>
      <c r="Q853" s="5"/>
      <c r="R853" s="5"/>
      <c r="S853" s="5"/>
      <c r="T853" s="5"/>
      <c r="U853" s="5"/>
      <c r="V853" s="46"/>
      <c r="W853" s="1651">
        <v>9500</v>
      </c>
      <c r="X853" s="1651"/>
      <c r="Y853" s="1651"/>
      <c r="Z853" s="1651"/>
      <c r="AA853" s="1651"/>
      <c r="AB853" s="1651"/>
      <c r="AC853" s="1651"/>
      <c r="AZ853" s="30"/>
      <c r="BA853" s="30"/>
      <c r="BB853" s="14"/>
      <c r="BC853" s="14"/>
    </row>
    <row r="854" spans="3:55" ht="13.05" customHeight="1">
      <c r="J854" s="62" t="s">
        <v>620</v>
      </c>
      <c r="K854" s="5"/>
      <c r="L854" s="5"/>
      <c r="M854" s="5"/>
      <c r="N854" s="5"/>
      <c r="O854" s="5"/>
      <c r="P854" s="5"/>
      <c r="Q854" s="5"/>
      <c r="R854" s="5"/>
      <c r="S854" s="5"/>
      <c r="T854" s="5"/>
      <c r="U854" s="5"/>
      <c r="V854" s="46"/>
      <c r="W854" s="1651">
        <v>87700</v>
      </c>
      <c r="X854" s="1651"/>
      <c r="Y854" s="1651"/>
      <c r="Z854" s="1651"/>
      <c r="AA854" s="1651"/>
      <c r="AB854" s="1651"/>
      <c r="AC854" s="1651"/>
      <c r="AZ854" s="34"/>
      <c r="BA854" s="34"/>
      <c r="BB854" s="34"/>
      <c r="BC854" s="34"/>
    </row>
    <row r="855" spans="3:55" ht="13.05" customHeight="1">
      <c r="J855" s="63"/>
      <c r="K855" s="48"/>
      <c r="L855" s="48"/>
      <c r="M855" s="48"/>
      <c r="N855" s="48"/>
      <c r="O855" s="48"/>
      <c r="P855" s="48"/>
      <c r="Q855" s="48"/>
      <c r="R855" s="48"/>
      <c r="S855" s="48"/>
      <c r="T855" s="48"/>
      <c r="U855" s="48"/>
      <c r="V855" s="54" t="s">
        <v>271</v>
      </c>
      <c r="W855" s="1705">
        <f>SUM(W851:AC854)</f>
        <v>97200</v>
      </c>
      <c r="X855" s="1705"/>
      <c r="Y855" s="1705"/>
      <c r="Z855" s="1705"/>
      <c r="AA855" s="1705"/>
      <c r="AB855" s="1705"/>
      <c r="AC855" s="1705"/>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30">
        <v>70000</v>
      </c>
      <c r="X857" s="1631"/>
      <c r="Y857" s="1631"/>
      <c r="Z857" s="1631"/>
      <c r="AA857" s="1631"/>
      <c r="AB857" s="1631"/>
      <c r="AC857" s="1632"/>
      <c r="AD857" s="529"/>
      <c r="AZ857" s="34"/>
      <c r="BA857" s="34"/>
      <c r="BB857" s="34"/>
      <c r="BC857" s="34"/>
    </row>
    <row r="858" spans="3:55" ht="13.05" customHeight="1">
      <c r="C858" s="2" t="s">
        <v>346</v>
      </c>
      <c r="J858" s="121" t="s">
        <v>1655</v>
      </c>
      <c r="K858" s="5"/>
      <c r="L858" s="5"/>
      <c r="M858" s="5"/>
      <c r="N858" s="5"/>
      <c r="O858" s="5"/>
      <c r="P858" s="5"/>
      <c r="Q858" s="5"/>
      <c r="R858" s="5"/>
      <c r="S858" s="5"/>
      <c r="T858" s="1709">
        <v>1</v>
      </c>
      <c r="U858" s="1696"/>
      <c r="V858" s="1710"/>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30"/>
      <c r="X859" s="1631"/>
      <c r="Y859" s="1631"/>
      <c r="Z859" s="1631"/>
      <c r="AA859" s="1631"/>
      <c r="AB859" s="1631"/>
      <c r="AC859" s="1632"/>
      <c r="AD859" s="534"/>
      <c r="AZ859" s="34"/>
      <c r="BA859" s="34"/>
      <c r="BB859" s="34"/>
      <c r="BC859" s="34"/>
    </row>
    <row r="860" spans="3:55" ht="13.05" customHeight="1">
      <c r="C860" s="2"/>
      <c r="J860" s="121" t="s">
        <v>1656</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05" customHeight="1">
      <c r="J861" s="45" t="s">
        <v>169</v>
      </c>
      <c r="K861" s="5"/>
      <c r="L861" s="5"/>
      <c r="M861" s="1593" t="s">
        <v>2705</v>
      </c>
      <c r="N861" s="1594"/>
      <c r="O861" s="1594"/>
      <c r="P861" s="1594"/>
      <c r="Q861" s="1594"/>
      <c r="R861" s="1594"/>
      <c r="S861" s="1594"/>
      <c r="T861" s="1594"/>
      <c r="U861" s="1594"/>
      <c r="V861" s="1595"/>
      <c r="W861" s="1630">
        <f>104040-W857</f>
        <v>34040</v>
      </c>
      <c r="X861" s="1631"/>
      <c r="Y861" s="1631"/>
      <c r="Z861" s="1631"/>
      <c r="AA861" s="1631"/>
      <c r="AB861" s="1631"/>
      <c r="AC861" s="1632"/>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711">
        <f>SUM(W857:AC861)</f>
        <v>104040</v>
      </c>
      <c r="X862" s="1712"/>
      <c r="Y862" s="1712"/>
      <c r="Z862" s="1712"/>
      <c r="AA862" s="1712"/>
      <c r="AB862" s="1712"/>
      <c r="AC862" s="171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30">
        <v>56100</v>
      </c>
      <c r="X863" s="1631"/>
      <c r="Y863" s="1631"/>
      <c r="Z863" s="1631"/>
      <c r="AA863" s="1631"/>
      <c r="AB863" s="1631"/>
      <c r="AC863" s="1632"/>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481">
        <v>30804</v>
      </c>
      <c r="X865" s="1481"/>
      <c r="Y865" s="1481"/>
      <c r="Z865" s="1481"/>
      <c r="AA865" s="1481"/>
      <c r="AB865" s="1481"/>
      <c r="AC865" s="1481"/>
      <c r="AU865" s="14"/>
      <c r="AZ865" s="34"/>
      <c r="BA865" s="34"/>
      <c r="BB865" s="34"/>
      <c r="BC865" s="34"/>
    </row>
    <row r="866" spans="3:55" ht="13.05" customHeight="1">
      <c r="J866" s="45" t="s">
        <v>522</v>
      </c>
      <c r="K866" s="5"/>
      <c r="L866" s="5"/>
      <c r="M866" s="5"/>
      <c r="N866" s="5"/>
      <c r="O866" s="5"/>
      <c r="P866" s="5"/>
      <c r="Q866" s="5"/>
      <c r="R866" s="5"/>
      <c r="S866" s="5"/>
      <c r="T866" s="5"/>
      <c r="U866" s="5"/>
      <c r="V866" s="46"/>
      <c r="W866" s="1481">
        <v>52020</v>
      </c>
      <c r="X866" s="1481"/>
      <c r="Y866" s="1481"/>
      <c r="Z866" s="1481"/>
      <c r="AA866" s="1481"/>
      <c r="AB866" s="1481"/>
      <c r="AC866" s="1481"/>
      <c r="AU866" s="4"/>
      <c r="AZ866" s="34"/>
      <c r="BA866" s="34"/>
      <c r="BB866" s="34"/>
      <c r="BC866" s="34"/>
    </row>
    <row r="867" spans="3:55" ht="13.05" customHeight="1">
      <c r="J867" s="45" t="s">
        <v>521</v>
      </c>
      <c r="K867" s="5"/>
      <c r="L867" s="5"/>
      <c r="M867" s="5"/>
      <c r="N867" s="5"/>
      <c r="O867" s="5"/>
      <c r="P867" s="5"/>
      <c r="Q867" s="5"/>
      <c r="R867" s="5"/>
      <c r="S867" s="5"/>
      <c r="T867" s="5"/>
      <c r="U867" s="5"/>
      <c r="V867" s="46"/>
      <c r="W867" s="1481">
        <v>15000</v>
      </c>
      <c r="X867" s="1481"/>
      <c r="Y867" s="1481"/>
      <c r="Z867" s="1481"/>
      <c r="AA867" s="1481"/>
      <c r="AB867" s="1481"/>
      <c r="AC867" s="1481"/>
      <c r="AU867" s="4"/>
      <c r="AZ867" s="34"/>
      <c r="BA867" s="34"/>
      <c r="BB867" s="34"/>
      <c r="BC867" s="34"/>
    </row>
    <row r="868" spans="3:55" ht="13.05" customHeight="1">
      <c r="J868" s="45" t="s">
        <v>520</v>
      </c>
      <c r="K868" s="5"/>
      <c r="L868" s="5"/>
      <c r="M868" s="5"/>
      <c r="N868" s="5"/>
      <c r="O868" s="5"/>
      <c r="P868" s="5"/>
      <c r="Q868" s="5"/>
      <c r="R868" s="5"/>
      <c r="S868" s="5"/>
      <c r="T868" s="5"/>
      <c r="U868" s="5"/>
      <c r="V868" s="46"/>
      <c r="W868" s="1481">
        <v>5000</v>
      </c>
      <c r="X868" s="1481"/>
      <c r="Y868" s="1481"/>
      <c r="Z868" s="1481"/>
      <c r="AA868" s="1481"/>
      <c r="AB868" s="1481"/>
      <c r="AC868" s="1481"/>
      <c r="AU868" s="4"/>
      <c r="AZ868" s="34"/>
      <c r="BA868" s="34"/>
      <c r="BB868" s="34"/>
      <c r="BC868" s="34"/>
    </row>
    <row r="869" spans="3:55" ht="13.05" customHeight="1">
      <c r="J869" s="45" t="s">
        <v>519</v>
      </c>
      <c r="K869" s="5"/>
      <c r="L869" s="5"/>
      <c r="M869" s="5"/>
      <c r="N869" s="5"/>
      <c r="O869" s="5"/>
      <c r="P869" s="5"/>
      <c r="Q869" s="5"/>
      <c r="R869" s="5"/>
      <c r="S869" s="5"/>
      <c r="T869" s="5"/>
      <c r="U869" s="5"/>
      <c r="V869" s="46"/>
      <c r="W869" s="1481">
        <f>28560-W868-W870-W871</f>
        <v>3560</v>
      </c>
      <c r="X869" s="1481"/>
      <c r="Y869" s="1481"/>
      <c r="Z869" s="1481"/>
      <c r="AA869" s="1481"/>
      <c r="AB869" s="1481"/>
      <c r="AC869" s="1481"/>
      <c r="AU869" s="4"/>
      <c r="AZ869" s="34"/>
      <c r="BA869" s="34"/>
      <c r="BB869" s="34"/>
      <c r="BC869" s="34"/>
    </row>
    <row r="870" spans="3:55" ht="13.05" customHeight="1">
      <c r="J870" s="45" t="s">
        <v>518</v>
      </c>
      <c r="K870" s="5"/>
      <c r="L870" s="5"/>
      <c r="M870" s="5"/>
      <c r="N870" s="5"/>
      <c r="O870" s="5"/>
      <c r="P870" s="5"/>
      <c r="Q870" s="5"/>
      <c r="R870" s="5"/>
      <c r="S870" s="5"/>
      <c r="T870" s="5"/>
      <c r="U870" s="5"/>
      <c r="V870" s="46"/>
      <c r="W870" s="1481">
        <v>5000</v>
      </c>
      <c r="X870" s="1481"/>
      <c r="Y870" s="1481"/>
      <c r="Z870" s="1481"/>
      <c r="AA870" s="1481"/>
      <c r="AB870" s="1481"/>
      <c r="AC870" s="1481"/>
      <c r="AU870" s="4"/>
      <c r="AZ870" s="34"/>
      <c r="BA870" s="34"/>
      <c r="BB870" s="34"/>
      <c r="BC870" s="34"/>
    </row>
    <row r="871" spans="3:55" ht="13.05" customHeight="1">
      <c r="J871" s="45" t="s">
        <v>169</v>
      </c>
      <c r="K871" s="5"/>
      <c r="L871" s="5"/>
      <c r="M871" s="1593" t="s">
        <v>2706</v>
      </c>
      <c r="N871" s="1594"/>
      <c r="O871" s="1594"/>
      <c r="P871" s="1594"/>
      <c r="Q871" s="1594"/>
      <c r="R871" s="1594"/>
      <c r="S871" s="1594"/>
      <c r="T871" s="1594"/>
      <c r="U871" s="1594"/>
      <c r="V871" s="1595"/>
      <c r="W871" s="1481">
        <v>15000</v>
      </c>
      <c r="X871" s="1481"/>
      <c r="Y871" s="1481"/>
      <c r="Z871" s="1481"/>
      <c r="AA871" s="1481"/>
      <c r="AB871" s="1481"/>
      <c r="AC871" s="1481"/>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703">
        <f>SUM(W865:AC871)</f>
        <v>126384</v>
      </c>
      <c r="X872" s="1703"/>
      <c r="Y872" s="1703"/>
      <c r="Z872" s="1703"/>
      <c r="AA872" s="1703"/>
      <c r="AB872" s="1703"/>
      <c r="AC872" s="17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0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0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6">
        <f>W847+W855+W862+W863+W872+W879+W849</f>
        <v>546246</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4">
        <f>O797+O777+G753</f>
        <v>102</v>
      </c>
      <c r="AD884" s="1714"/>
      <c r="AE884" s="1714"/>
      <c r="AF884" s="1714"/>
      <c r="AG884" s="1714"/>
      <c r="AH884" s="1715"/>
      <c r="AL884" s="4"/>
      <c r="AM884" s="4"/>
      <c r="AN884" s="4"/>
      <c r="AO884" s="4"/>
      <c r="AP884" s="4"/>
      <c r="AQ884" s="4"/>
      <c r="AR884" s="4"/>
      <c r="AS884" s="4"/>
      <c r="AT884" s="4"/>
      <c r="AZ884" s="34"/>
      <c r="BA884" s="34"/>
      <c r="BB884" s="34"/>
      <c r="BC884" s="34"/>
    </row>
    <row r="885" spans="3:55" ht="13.0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5355</v>
      </c>
      <c r="AD885" s="1703"/>
      <c r="AE885" s="1703"/>
      <c r="AF885" s="1703"/>
      <c r="AG885" s="1703"/>
      <c r="AH885" s="17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SUM(AC883+AF627+AF628+AC888+AC889+AC890+AC891)/4</f>
        <v>465931.40767672268</v>
      </c>
      <c r="AD886" s="1717"/>
      <c r="AE886" s="1717"/>
      <c r="AF886" s="1717"/>
      <c r="AG886" s="1717"/>
      <c r="AH886" s="1717"/>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24410</v>
      </c>
      <c r="AD888" s="1467"/>
      <c r="AE888" s="1467"/>
      <c r="AF888" s="1467"/>
      <c r="AG888" s="1467"/>
      <c r="AH888" s="1468"/>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300*(G753+O777)</f>
        <v>30600</v>
      </c>
      <c r="AD889" s="1467"/>
      <c r="AE889" s="1467"/>
      <c r="AF889" s="1467"/>
      <c r="AG889" s="1467"/>
      <c r="AH889" s="1468"/>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7500</v>
      </c>
      <c r="AD890" s="1476"/>
      <c r="AE890" s="1476"/>
      <c r="AF890" s="1476"/>
      <c r="AG890" s="1476"/>
      <c r="AH890" s="1477"/>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6120</v>
      </c>
      <c r="AD891" s="1467"/>
      <c r="AE891" s="1467"/>
      <c r="AF891" s="1467"/>
      <c r="AG891" s="1467"/>
      <c r="AH891" s="1468"/>
      <c r="AZ891" s="34"/>
      <c r="BA891" s="34"/>
      <c r="BB891" s="34"/>
      <c r="BC891" s="34"/>
    </row>
    <row r="892" spans="3:55" ht="13.05"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3.0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0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0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0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0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7"/>
      <c r="BD902" s="1628"/>
      <c r="BE902" s="1628"/>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05" customHeight="1">
      <c r="AZ909" s="34"/>
      <c r="BB909" s="30"/>
      <c r="BC909" s="817"/>
    </row>
    <row r="910" spans="1:58" ht="13.0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2"/>
    </row>
    <row r="911" spans="1:58" ht="13.0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0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0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AM555+AM554</f>
        <v>20775000</v>
      </c>
      <c r="AB918" s="1409"/>
      <c r="AC918" s="1409"/>
      <c r="AD918" s="1409"/>
      <c r="AE918" s="1409"/>
      <c r="AF918" s="1410"/>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05" customHeight="1">
      <c r="F926" s="1601" t="s">
        <v>2194</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3.0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3.05" customHeight="1">
      <c r="F928" s="1601" t="s">
        <v>2195</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3.05" customHeight="1">
      <c r="F929" s="1601" t="s">
        <v>2196</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3.05" customHeight="1">
      <c r="F930" s="1601" t="s">
        <v>2197</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3.05" customHeight="1">
      <c r="F931" s="1601" t="s">
        <v>2198</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3.05" customHeight="1">
      <c r="F932" s="1601" t="s">
        <v>2199</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3.0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0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0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05" customHeight="1">
      <c r="F936" s="1639" t="s">
        <v>2203</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3.05" customHeight="1">
      <c r="F937" s="1639" t="s">
        <v>2204</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3.05" customHeight="1">
      <c r="F938" s="1601" t="s">
        <v>2200</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3.05" customHeight="1">
      <c r="F939" s="1601" t="s">
        <v>2201</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3.05" customHeight="1">
      <c r="F940" s="1601" t="s">
        <v>2202</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05" customHeight="1">
      <c r="F942" s="1639" t="s">
        <v>2205</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05" customHeight="1">
      <c r="F944" s="1639" t="s">
        <v>2206</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3.0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05" customHeight="1">
      <c r="F946" s="1601" t="s">
        <v>2193</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3.0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3.05" customHeight="1">
      <c r="F948" s="45" t="s">
        <v>10</v>
      </c>
      <c r="G948" s="48"/>
      <c r="H948" s="48"/>
      <c r="I948" s="1536" t="s">
        <v>333</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05" customHeight="1">
      <c r="F949" s="47" t="s">
        <v>169</v>
      </c>
      <c r="G949" s="48"/>
      <c r="H949" s="48"/>
      <c r="I949" s="1536" t="s">
        <v>333</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3.0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0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0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0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0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0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0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0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0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0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0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05" customHeight="1">
      <c r="A986" s="14"/>
      <c r="B986" s="73"/>
      <c r="C986" s="930"/>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0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0</v>
      </c>
      <c r="AC987" s="1391"/>
      <c r="AD987" s="1391"/>
      <c r="AE987" s="1391"/>
      <c r="AF987" s="1391"/>
      <c r="AG987" s="1391"/>
      <c r="AH987" s="1391"/>
      <c r="AI987" s="1392"/>
      <c r="AJ987" s="1488">
        <f>IF(ISERROR((R987*AB987)),0,(R987*AB987))</f>
        <v>0</v>
      </c>
      <c r="AK987" s="1489"/>
      <c r="AL987" s="1489"/>
      <c r="AM987" s="1489"/>
      <c r="AN987" s="1489"/>
      <c r="AO987" s="1489"/>
      <c r="AP987" s="1489"/>
      <c r="AQ987" s="1490"/>
      <c r="AR987" s="68"/>
      <c r="AS987" s="68"/>
      <c r="AT987" s="68"/>
      <c r="AU987" s="68"/>
      <c r="AV987" s="68"/>
      <c r="AW987" s="68"/>
      <c r="AX987" s="68"/>
      <c r="AY987" s="68"/>
      <c r="AZ987" s="30"/>
      <c r="BB987" s="14"/>
      <c r="BC987" s="14"/>
    </row>
    <row r="988" spans="1:64" ht="13.0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102</v>
      </c>
      <c r="AC988" s="1391"/>
      <c r="AD988" s="1391"/>
      <c r="AE988" s="1391"/>
      <c r="AF988" s="1391"/>
      <c r="AG988" s="1391"/>
      <c r="AH988" s="1391"/>
      <c r="AI988" s="1392"/>
      <c r="AJ988" s="1488">
        <f>IF(ISERROR((R988*AB988)),0,(R988*AB988))</f>
        <v>62097600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0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0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0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102</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0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62097600</v>
      </c>
      <c r="AK992" s="1489"/>
      <c r="AL992" s="1489"/>
      <c r="AM992" s="1489"/>
      <c r="AN992" s="1489"/>
      <c r="AO992" s="1489"/>
      <c r="AP992" s="1489"/>
      <c r="AQ992" s="1490"/>
      <c r="AR992" s="68"/>
      <c r="AS992" s="68"/>
      <c r="AT992" s="68"/>
      <c r="AU992" s="68"/>
      <c r="AV992" s="68"/>
      <c r="AW992" s="68"/>
      <c r="AX992" s="68"/>
      <c r="AY992" s="68"/>
      <c r="AZ992" s="34"/>
      <c r="BB992" s="34"/>
      <c r="BC992" s="34"/>
    </row>
    <row r="993" spans="1:55" ht="13.0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05" customHeight="1">
      <c r="A994" s="14"/>
      <c r="B994" s="73"/>
      <c r="C994" s="928"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05"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0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0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0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05"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05"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05"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05"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0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101</v>
      </c>
      <c r="AZ1003" s="34"/>
      <c r="BB1003" s="34"/>
    </row>
    <row r="1004" spans="1:55" ht="13.0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0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0.1</v>
      </c>
      <c r="AZ1005" s="34"/>
      <c r="BB1005" s="34"/>
    </row>
    <row r="1006" spans="1:55" ht="13.0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0.1</v>
      </c>
      <c r="AZ1006" s="34"/>
      <c r="BB1006" s="34"/>
    </row>
    <row r="1007" spans="1:55" ht="13.05" customHeight="1">
      <c r="A1007" s="14"/>
      <c r="B1007" s="256"/>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0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0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0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0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0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0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0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05" customHeight="1">
      <c r="A1016" s="14"/>
      <c r="B1016" s="79"/>
      <c r="C1016" s="80" t="s">
        <v>217</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0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0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0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0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0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0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0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3.0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0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3.0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3.0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6209760</v>
      </c>
      <c r="AK1029" s="1394"/>
      <c r="AL1029" s="1394"/>
      <c r="AM1029" s="1394"/>
      <c r="AN1029" s="1394"/>
      <c r="AO1029" s="1394"/>
      <c r="AP1029" s="1394"/>
      <c r="AQ1029" s="1395"/>
      <c r="AR1029" s="68"/>
      <c r="AS1029" s="68"/>
      <c r="AT1029" s="68"/>
      <c r="AU1029" s="68"/>
      <c r="AV1029" s="68"/>
      <c r="AW1029" s="68"/>
      <c r="AX1029" s="68"/>
      <c r="AY1029" s="68"/>
    </row>
    <row r="1030" spans="1:57" ht="13.0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0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05" customHeight="1">
      <c r="A1032" s="14"/>
      <c r="B1032" s="73"/>
      <c r="C1032" s="340"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05" customHeight="1">
      <c r="A1033" s="14"/>
      <c r="B1033" s="73"/>
      <c r="C1033" s="74"/>
      <c r="D1033" s="151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0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0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05" customHeight="1">
      <c r="A1036" s="14"/>
      <c r="B1036" s="73"/>
      <c r="C1036" s="340"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6209760</v>
      </c>
      <c r="AK1036" s="1394"/>
      <c r="AL1036" s="1394"/>
      <c r="AM1036" s="1394"/>
      <c r="AN1036" s="1394"/>
      <c r="AO1036" s="1394"/>
      <c r="AP1036" s="1394"/>
      <c r="AQ1036" s="1395"/>
      <c r="AR1036" s="68"/>
      <c r="AS1036" s="68"/>
      <c r="AT1036" s="68"/>
      <c r="AU1036" s="68"/>
      <c r="AV1036" s="68"/>
      <c r="AW1036" s="68"/>
      <c r="AX1036" s="68"/>
      <c r="AY1036" s="68"/>
    </row>
    <row r="1037" spans="1:57" ht="13.05" customHeight="1">
      <c r="A1037" s="14"/>
      <c r="B1037" s="73"/>
      <c r="C1037" s="74"/>
      <c r="D1037" s="151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0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0.21782178217821782</v>
      </c>
      <c r="BB1039" s="3" t="s">
        <v>2496</v>
      </c>
    </row>
    <row r="1040" spans="1:57" ht="13.0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3.0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2495</v>
      </c>
    </row>
    <row r="1043" spans="1:56" ht="13.0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0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0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6209760</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3542672.1</v>
      </c>
      <c r="BA1046" s="1184">
        <f>IF(BA1040,20%,15%)</f>
        <v>0.15</v>
      </c>
      <c r="BB1046" s="3" t="s">
        <v>2482</v>
      </c>
      <c r="BC1046" s="3" t="s">
        <v>2483</v>
      </c>
      <c r="BD1046" s="3"/>
    </row>
    <row r="1047" spans="1:56" ht="13.0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570">
        <f>AY1003</f>
        <v>101</v>
      </c>
      <c r="J1048" s="1571"/>
      <c r="K1048" s="7"/>
      <c r="L1048" s="133"/>
      <c r="M1048" s="133"/>
      <c r="N1048" s="133"/>
      <c r="O1048" s="133"/>
      <c r="P1048" s="133"/>
      <c r="Q1048" s="133"/>
      <c r="R1048" s="133"/>
      <c r="S1048" s="133"/>
      <c r="T1048" s="133"/>
      <c r="U1048" s="133"/>
      <c r="V1048" s="134" t="s">
        <v>973</v>
      </c>
      <c r="W1048" s="48"/>
      <c r="X1048" s="1568">
        <f>CI753</f>
        <v>11</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12419520</v>
      </c>
      <c r="AK1049" s="1394"/>
      <c r="AL1049" s="1394"/>
      <c r="AM1049" s="1394"/>
      <c r="AN1049" s="1394"/>
      <c r="AO1049" s="1394"/>
      <c r="AP1049" s="1394"/>
      <c r="AQ1049" s="1395"/>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0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570">
        <f>AY1003</f>
        <v>101</v>
      </c>
      <c r="J1052" s="1571"/>
      <c r="K1052" s="14"/>
      <c r="L1052" s="133"/>
      <c r="M1052" s="133"/>
      <c r="N1052" s="133"/>
      <c r="O1052" s="133"/>
      <c r="P1052" s="133"/>
      <c r="Q1052" s="133"/>
      <c r="R1052" s="133"/>
      <c r="S1052" s="133"/>
      <c r="T1052" s="133"/>
      <c r="U1052" s="133"/>
      <c r="V1052" s="134" t="s">
        <v>974</v>
      </c>
      <c r="X1052" s="1568">
        <f>CM753</f>
        <v>11</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93146400</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1">
        <f>'Sources and Uses Budget'!S107+'Sources and Uses Budget'!T107</f>
        <v>27160486</v>
      </c>
      <c r="AB1056" s="1851"/>
      <c r="AC1056" s="1851"/>
      <c r="AD1056" s="1851"/>
      <c r="AE1056" s="1851"/>
      <c r="AF1056" s="185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3542672.1</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2">
        <f>IFERROR((AA1056-BA1059)/(AJ1053-AJ1045-AJ1049),"")</f>
        <v>0.35049414148050811</v>
      </c>
      <c r="AB1057" s="1853"/>
      <c r="AC1057" s="1853"/>
      <c r="AD1057" s="1853"/>
      <c r="AE1057" s="1853"/>
      <c r="AF1057" s="185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7">
        <f>'Sources and Uses Budget'!$S$104+'Sources and Uses Budget'!$T$104</f>
        <v>3542672</v>
      </c>
      <c r="BB1058" s="3" t="s">
        <v>2497</v>
      </c>
    </row>
    <row r="1059" spans="1:54" ht="13.05" customHeight="1">
      <c r="A1059" s="14"/>
      <c r="B1059" s="14"/>
      <c r="C1059" s="209"/>
      <c r="D1059" s="859"/>
      <c r="E1059" s="859"/>
      <c r="F1059" s="859"/>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8">
        <f>MAX($BA$1058-$BA$1055,0)</f>
        <v>1042672</v>
      </c>
      <c r="BB1059" s="3" t="s">
        <v>2498</v>
      </c>
    </row>
    <row r="1060" spans="1:54" ht="13.05" customHeight="1">
      <c r="A1060" s="88"/>
      <c r="B1060" s="1174"/>
      <c r="C1060" s="1174"/>
      <c r="D1060" s="1174"/>
      <c r="E1060" s="1174"/>
      <c r="F1060" s="1174"/>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4"/>
      <c r="AP1060" s="1174"/>
      <c r="AQ1060" s="68"/>
      <c r="AR1060" s="68"/>
      <c r="AS1060" s="68"/>
      <c r="AT1060" s="68"/>
      <c r="AU1060" s="68"/>
      <c r="AV1060" s="68"/>
      <c r="AW1060" s="68"/>
      <c r="AX1060" s="68"/>
      <c r="AY1060" s="68"/>
    </row>
    <row r="1061" spans="1:54" ht="13.0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33" t="s">
        <v>591</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33" t="s">
        <v>591</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0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0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0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0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0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05"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0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0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0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0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05"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333" t="s">
        <v>591</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0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0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05"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333" t="s">
        <v>591</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0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0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05"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333" t="s">
        <v>591</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0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0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05"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0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05"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0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05"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333" t="s">
        <v>591</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05"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333" t="s">
        <v>591</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05"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050000000000001" hidden="1" customHeight="1"/>
  </sheetData>
  <sheetProtection algorithmName="SHA-512" hashValue="bIXTyR4KaF9fPRbDacNiBpIwVaCxlkDkv0jqAYhVI/T00fPKeYmD781Ul/3/G8n5GPzfovSd+B2OPPikulY4kg==" saltValue="YFQac4wZeYNmJk8lrDvi/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1101</v>
      </c>
      <c r="B9" s="1309"/>
      <c r="C9" s="1309"/>
      <c r="D9" s="1309"/>
      <c r="E9" s="1309"/>
      <c r="F9" s="1309"/>
      <c r="G9" s="1309"/>
      <c r="H9" s="1029"/>
      <c r="I9" s="1030"/>
    </row>
    <row r="10" spans="1:13">
      <c r="A10" s="483"/>
      <c r="B10" s="483"/>
      <c r="E10" s="405"/>
    </row>
    <row r="11" spans="1:13" ht="13.8" customHeight="1">
      <c r="C11" s="483"/>
      <c r="D11" s="1322" t="s">
        <v>1100</v>
      </c>
      <c r="E11" s="1322"/>
      <c r="F11" s="1322"/>
    </row>
    <row r="12" spans="1:13">
      <c r="C12" s="483"/>
      <c r="D12" s="1322"/>
      <c r="E12" s="1322"/>
      <c r="F12" s="1322"/>
    </row>
    <row r="13" spans="1:13">
      <c r="A13" s="484"/>
      <c r="B13" s="484"/>
      <c r="C13" s="484"/>
      <c r="D13" s="1300" t="s">
        <v>1090</v>
      </c>
      <c r="E13" s="1300"/>
      <c r="F13" s="1300"/>
      <c r="M13" s="96"/>
    </row>
    <row r="14" spans="1:13">
      <c r="A14" s="484"/>
      <c r="B14" s="484"/>
      <c r="C14" s="484"/>
      <c r="D14" s="477"/>
      <c r="L14" s="313"/>
    </row>
    <row r="15" spans="1:13" ht="14.4">
      <c r="A15" s="485"/>
      <c r="B15" s="486" t="s">
        <v>306</v>
      </c>
      <c r="C15" s="484"/>
      <c r="D15" s="1302" t="s">
        <v>1922</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1920</v>
      </c>
      <c r="F18" s="446"/>
      <c r="I18" s="491"/>
    </row>
    <row r="19" spans="1:9">
      <c r="A19" s="484"/>
      <c r="B19" s="484"/>
      <c r="C19" s="484"/>
      <c r="I19" s="491"/>
    </row>
    <row r="20" spans="1:9" ht="14.4">
      <c r="A20" s="485"/>
      <c r="B20" s="486" t="s">
        <v>306</v>
      </c>
      <c r="D20" s="1302" t="s">
        <v>1923</v>
      </c>
      <c r="E20" s="1302"/>
      <c r="F20" s="1302"/>
      <c r="I20" s="491"/>
    </row>
    <row r="21" spans="1:9" ht="14.4">
      <c r="A21" s="485"/>
      <c r="D21" s="1302"/>
      <c r="E21" s="1302"/>
      <c r="F21" s="1302"/>
      <c r="I21" s="491"/>
    </row>
    <row r="22" spans="1:9" ht="14.4">
      <c r="A22" s="485"/>
      <c r="D22" s="393"/>
      <c r="E22" s="96" t="s">
        <v>1919</v>
      </c>
      <c r="F22" s="393"/>
      <c r="I22" s="491"/>
    </row>
    <row r="23" spans="1:9" ht="14.4">
      <c r="A23" s="485"/>
      <c r="B23" s="485"/>
      <c r="D23" s="447"/>
      <c r="I23" s="491"/>
    </row>
    <row r="24" spans="1:9" ht="14.4">
      <c r="A24" s="485"/>
      <c r="B24" s="486" t="s">
        <v>306</v>
      </c>
      <c r="D24" s="1302" t="s">
        <v>1091</v>
      </c>
      <c r="E24" s="1302"/>
      <c r="F24" s="1302"/>
      <c r="I24" s="491"/>
    </row>
    <row r="25" spans="1:9" ht="14.4">
      <c r="A25" s="485"/>
      <c r="B25" s="485"/>
      <c r="D25" s="1302"/>
      <c r="E25" s="1302"/>
      <c r="F25" s="1302"/>
      <c r="I25" s="491"/>
    </row>
    <row r="26" spans="1:9">
      <c r="I26" s="491"/>
    </row>
    <row r="27" spans="1:9" ht="14.4">
      <c r="A27" s="485"/>
      <c r="B27" s="486" t="s">
        <v>306</v>
      </c>
      <c r="D27" s="1302" t="s">
        <v>2049</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306</v>
      </c>
      <c r="D33" s="1302" t="s">
        <v>2050</v>
      </c>
      <c r="E33" s="1302"/>
      <c r="F33" s="1302"/>
      <c r="I33" s="491"/>
    </row>
    <row r="34" spans="1:9">
      <c r="D34" s="1302"/>
      <c r="E34" s="1302"/>
      <c r="F34" s="1302"/>
      <c r="I34" s="491"/>
    </row>
    <row r="35" spans="1:9" ht="14.4">
      <c r="A35" s="485"/>
      <c r="B35" s="485"/>
      <c r="D35" s="448"/>
      <c r="I35" s="491"/>
    </row>
    <row r="36" spans="1:9" ht="14.55" customHeight="1">
      <c r="A36" s="485"/>
      <c r="B36" s="486" t="s">
        <v>306</v>
      </c>
      <c r="D36" s="1302" t="s">
        <v>1214</v>
      </c>
      <c r="E36" s="1302"/>
      <c r="F36" s="1302"/>
      <c r="I36" s="491"/>
    </row>
    <row r="37" spans="1:9" ht="14.4">
      <c r="A37" s="485"/>
      <c r="B37" s="485"/>
      <c r="D37" s="1302"/>
      <c r="E37" s="1302"/>
      <c r="F37" s="1302"/>
      <c r="I37" s="491"/>
    </row>
    <row r="38" spans="1:9" ht="14.4">
      <c r="A38" s="485"/>
      <c r="B38" s="485"/>
      <c r="D38" s="1302"/>
      <c r="E38" s="1302"/>
      <c r="F38" s="1302"/>
      <c r="I38" s="491"/>
    </row>
    <row r="39" spans="1:9" ht="14.4">
      <c r="A39" s="485"/>
      <c r="B39" s="485"/>
      <c r="D39" s="1302"/>
      <c r="E39" s="1302"/>
      <c r="F39" s="1302"/>
      <c r="I39" s="491"/>
    </row>
    <row r="40" spans="1:9" ht="14.4">
      <c r="A40" s="485"/>
      <c r="B40" s="485"/>
      <c r="I40" s="491"/>
    </row>
    <row r="41" spans="1:9" ht="14.4">
      <c r="A41" s="485"/>
      <c r="B41" s="486" t="s">
        <v>306</v>
      </c>
      <c r="D41" s="1302" t="s">
        <v>1092</v>
      </c>
      <c r="E41" s="1302"/>
      <c r="F41" s="1302"/>
      <c r="I41" s="491"/>
    </row>
    <row r="42" spans="1:9" ht="14.4">
      <c r="A42" s="485"/>
      <c r="B42" s="485"/>
      <c r="D42" s="1302"/>
      <c r="E42" s="1302"/>
      <c r="F42" s="1302"/>
      <c r="I42" s="491"/>
    </row>
    <row r="43" spans="1:9" ht="14.4">
      <c r="A43" s="485"/>
      <c r="B43" s="485"/>
      <c r="D43" s="1302"/>
      <c r="E43" s="1302"/>
      <c r="F43" s="1302"/>
      <c r="I43" s="491"/>
    </row>
    <row r="44" spans="1:9" ht="14.4">
      <c r="A44" s="485"/>
      <c r="B44" s="485"/>
      <c r="D44" s="1302"/>
      <c r="E44" s="1302"/>
      <c r="F44" s="1302"/>
      <c r="I44" s="491"/>
    </row>
    <row r="45" spans="1:9" ht="14.4">
      <c r="A45" s="485"/>
      <c r="B45" s="485"/>
      <c r="D45" s="1302"/>
      <c r="E45" s="1302"/>
      <c r="F45" s="1302"/>
      <c r="I45" s="491"/>
    </row>
    <row r="46" spans="1:9" ht="14.4">
      <c r="A46" s="485"/>
      <c r="B46" s="485"/>
      <c r="D46" s="446"/>
      <c r="E46" s="446"/>
      <c r="F46" s="446"/>
      <c r="I46" s="491"/>
    </row>
    <row r="47" spans="1:9" ht="14.4">
      <c r="A47" s="485"/>
      <c r="B47" s="486" t="s">
        <v>306</v>
      </c>
      <c r="D47" s="1302" t="s">
        <v>1093</v>
      </c>
      <c r="E47" s="1302"/>
      <c r="F47" s="1302"/>
      <c r="I47" s="491"/>
    </row>
    <row r="48" spans="1:9" ht="14.4">
      <c r="A48" s="485"/>
      <c r="B48" s="485"/>
      <c r="D48" s="1302"/>
      <c r="E48" s="1302"/>
      <c r="F48" s="1302"/>
      <c r="I48" s="491"/>
    </row>
    <row r="49" spans="1:9" ht="14.4">
      <c r="A49" s="485"/>
      <c r="B49" s="485"/>
      <c r="D49" s="1302"/>
      <c r="E49" s="1302"/>
      <c r="F49" s="1302"/>
      <c r="I49" s="491"/>
    </row>
    <row r="50" spans="1:9" ht="23.25" customHeight="1">
      <c r="A50" s="485"/>
      <c r="B50" s="485"/>
      <c r="D50" s="1302"/>
      <c r="E50" s="1302"/>
      <c r="F50" s="1302"/>
      <c r="I50" s="491"/>
    </row>
    <row r="51" spans="1:9" ht="14.4">
      <c r="A51" s="485"/>
      <c r="B51" s="485"/>
      <c r="D51" s="447"/>
      <c r="I51" s="491"/>
    </row>
    <row r="52" spans="1:9" ht="14.55" customHeight="1">
      <c r="A52" s="485"/>
      <c r="B52" s="486" t="s">
        <v>306</v>
      </c>
      <c r="D52" s="1302" t="s">
        <v>1094</v>
      </c>
      <c r="E52" s="1302"/>
      <c r="F52" s="1302"/>
      <c r="I52" s="491"/>
    </row>
    <row r="53" spans="1:9" ht="14.4">
      <c r="A53" s="485"/>
      <c r="B53" s="485"/>
      <c r="D53" s="1302"/>
      <c r="E53" s="1302"/>
      <c r="F53" s="1302"/>
      <c r="I53" s="491"/>
    </row>
    <row r="54" spans="1:9" ht="14.4">
      <c r="A54" s="485"/>
      <c r="B54" s="485"/>
      <c r="D54" s="1302"/>
      <c r="E54" s="1302"/>
      <c r="F54" s="1302"/>
      <c r="I54" s="491"/>
    </row>
    <row r="55" spans="1:9" ht="14.4">
      <c r="A55" s="485"/>
      <c r="B55" s="485"/>
      <c r="I55" s="491"/>
    </row>
    <row r="56" spans="1:9" ht="14.4">
      <c r="A56" s="485"/>
      <c r="B56" s="486" t="s">
        <v>306</v>
      </c>
      <c r="D56" s="1325" t="s">
        <v>1095</v>
      </c>
      <c r="E56" s="1325"/>
      <c r="F56" s="1325"/>
      <c r="I56" s="491"/>
    </row>
    <row r="57" spans="1:9" ht="14.4">
      <c r="A57" s="485"/>
      <c r="B57" s="485"/>
      <c r="D57" s="1325"/>
      <c r="E57" s="1325"/>
      <c r="F57" s="1325"/>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302" t="s">
        <v>1096</v>
      </c>
      <c r="E61" s="1302"/>
      <c r="F61" s="1302"/>
      <c r="I61" s="491"/>
    </row>
    <row r="62" spans="1:9">
      <c r="D62" s="1302"/>
      <c r="E62" s="1302"/>
      <c r="F62" s="1302"/>
      <c r="I62" s="491"/>
    </row>
    <row r="63" spans="1:9">
      <c r="D63" s="1302"/>
      <c r="E63" s="1302"/>
      <c r="F63" s="1302"/>
      <c r="I63" s="491"/>
    </row>
    <row r="64" spans="1:9">
      <c r="I64" s="491"/>
    </row>
    <row r="65" spans="1:9" ht="14.4">
      <c r="A65" s="485"/>
      <c r="B65" s="486" t="s">
        <v>306</v>
      </c>
      <c r="D65" s="1302" t="s">
        <v>1097</v>
      </c>
      <c r="E65" s="1302"/>
      <c r="F65" s="1302"/>
      <c r="I65" s="491"/>
    </row>
    <row r="66" spans="1:9">
      <c r="D66" s="1302"/>
      <c r="E66" s="1302"/>
      <c r="F66" s="1302"/>
      <c r="I66" s="491"/>
    </row>
    <row r="67" spans="1:9">
      <c r="I67" s="491"/>
    </row>
    <row r="68" spans="1:9" ht="14.4">
      <c r="A68" s="485"/>
      <c r="B68" s="486" t="s">
        <v>306</v>
      </c>
      <c r="D68" s="1302" t="s">
        <v>1098</v>
      </c>
      <c r="E68" s="1302"/>
      <c r="F68" s="1302"/>
      <c r="I68" s="491"/>
    </row>
    <row r="69" spans="1:9">
      <c r="D69" s="1302"/>
      <c r="E69" s="1302"/>
      <c r="F69" s="1302"/>
      <c r="I69" s="491"/>
    </row>
    <row r="70" spans="1:9">
      <c r="D70" s="1302"/>
      <c r="E70" s="1302"/>
      <c r="F70" s="1302"/>
      <c r="I70" s="491"/>
    </row>
    <row r="71" spans="1:9">
      <c r="I71" s="491"/>
    </row>
    <row r="72" spans="1:9" ht="14.4">
      <c r="A72" s="485"/>
      <c r="B72" s="486" t="s">
        <v>306</v>
      </c>
      <c r="D72" s="1302" t="s">
        <v>1099</v>
      </c>
      <c r="E72" s="1302"/>
      <c r="F72" s="1302"/>
      <c r="I72" s="491"/>
    </row>
    <row r="73" spans="1:9">
      <c r="D73" s="1302"/>
      <c r="E73" s="1302"/>
      <c r="F73" s="1302"/>
      <c r="I73" s="491"/>
    </row>
    <row r="74" spans="1:9" ht="14.4">
      <c r="A74" s="485"/>
      <c r="B74" s="485"/>
      <c r="D74" s="447"/>
      <c r="I74" s="491"/>
    </row>
    <row r="75" spans="1:9">
      <c r="A75" s="1309" t="s">
        <v>1044</v>
      </c>
      <c r="B75" s="1309"/>
      <c r="C75" s="1309"/>
      <c r="D75" s="1309"/>
      <c r="E75" s="1309"/>
      <c r="F75" s="1309"/>
      <c r="G75" s="1309"/>
      <c r="H75" s="1029"/>
      <c r="I75" s="1155"/>
    </row>
    <row r="76" spans="1:9">
      <c r="I76" s="491"/>
    </row>
    <row r="77" spans="1:9">
      <c r="C77" s="487"/>
      <c r="D77" s="1318" t="s">
        <v>1102</v>
      </c>
      <c r="E77" s="1318"/>
      <c r="F77" s="1318"/>
      <c r="I77" s="491"/>
    </row>
    <row r="78" spans="1:9">
      <c r="A78" s="447"/>
      <c r="B78" s="447"/>
      <c r="D78" s="1302" t="s">
        <v>1117</v>
      </c>
      <c r="E78" s="1302"/>
      <c r="F78" s="1302"/>
      <c r="I78" s="491"/>
    </row>
    <row r="79" spans="1:9">
      <c r="A79" s="447"/>
      <c r="B79" s="447"/>
      <c r="I79" s="491"/>
    </row>
    <row r="80" spans="1:9" ht="13.8" customHeight="1">
      <c r="A80" s="485"/>
      <c r="B80" s="486" t="s">
        <v>306</v>
      </c>
      <c r="D80" s="1302" t="s">
        <v>1245</v>
      </c>
      <c r="E80" s="1302"/>
      <c r="F80" s="1302"/>
      <c r="I80" s="491"/>
    </row>
    <row r="81" spans="1:9" ht="14.4">
      <c r="A81" s="485"/>
      <c r="B81" s="485"/>
      <c r="D81" s="1302"/>
      <c r="E81" s="1302"/>
      <c r="F81" s="1302"/>
      <c r="I81" s="491"/>
    </row>
    <row r="82" spans="1:9" ht="14.4">
      <c r="A82" s="485"/>
      <c r="B82" s="485"/>
      <c r="D82" s="1302"/>
      <c r="E82" s="1302"/>
      <c r="F82" s="1302"/>
      <c r="I82" s="491"/>
    </row>
    <row r="83" spans="1:9" ht="14.4">
      <c r="A83" s="485"/>
      <c r="B83" s="485"/>
      <c r="D83" s="1302"/>
      <c r="E83" s="1302"/>
      <c r="F83" s="1302"/>
      <c r="I83" s="491"/>
    </row>
    <row r="84" spans="1:9" ht="14.4">
      <c r="A84" s="485"/>
      <c r="B84" s="485"/>
      <c r="D84" s="1302"/>
      <c r="E84" s="1302"/>
      <c r="F84" s="1302"/>
      <c r="I84" s="491"/>
    </row>
    <row r="85" spans="1:9" ht="14.4">
      <c r="A85" s="485"/>
      <c r="B85" s="485"/>
      <c r="D85" s="1302"/>
      <c r="E85" s="1302"/>
      <c r="F85" s="1302"/>
      <c r="I85" s="491"/>
    </row>
    <row r="86" spans="1:9" ht="14.4">
      <c r="A86" s="485"/>
      <c r="B86" s="485"/>
      <c r="D86" s="1302"/>
      <c r="E86" s="1302"/>
      <c r="F86" s="1302"/>
      <c r="I86" s="491"/>
    </row>
    <row r="87" spans="1:9" ht="14.4">
      <c r="A87" s="485"/>
      <c r="B87" s="485"/>
      <c r="D87" s="1302"/>
      <c r="E87" s="1302"/>
      <c r="F87" s="1302"/>
      <c r="I87" s="491"/>
    </row>
    <row r="88" spans="1:9" ht="14.4">
      <c r="A88" s="485"/>
      <c r="B88" s="485"/>
      <c r="D88" s="386"/>
      <c r="E88" s="386"/>
      <c r="F88" s="386"/>
      <c r="I88" s="491"/>
    </row>
    <row r="89" spans="1:9" ht="15" customHeight="1">
      <c r="A89" s="485"/>
      <c r="B89" s="486" t="s">
        <v>306</v>
      </c>
      <c r="D89" s="1302" t="s">
        <v>1742</v>
      </c>
      <c r="E89" s="1302"/>
      <c r="F89" s="1302"/>
      <c r="I89" s="491"/>
    </row>
    <row r="90" spans="1:9" ht="14.4">
      <c r="A90" s="485"/>
      <c r="B90" s="485"/>
      <c r="D90" s="1302"/>
      <c r="E90" s="1302"/>
      <c r="F90" s="1302"/>
      <c r="I90" s="491"/>
    </row>
    <row r="91" spans="1:9" ht="14.4">
      <c r="A91" s="485"/>
      <c r="B91" s="485"/>
      <c r="D91" s="446"/>
      <c r="E91" s="446"/>
      <c r="F91" s="446"/>
      <c r="I91" s="491"/>
    </row>
    <row r="92" spans="1:9" ht="14.4">
      <c r="A92" s="485"/>
      <c r="B92" s="486" t="s">
        <v>306</v>
      </c>
      <c r="D92" s="1302" t="s">
        <v>1745</v>
      </c>
      <c r="E92" s="1302"/>
      <c r="F92" s="1302"/>
      <c r="I92" s="491"/>
    </row>
    <row r="93" spans="1:9" ht="14.4">
      <c r="A93" s="485"/>
      <c r="B93" s="485"/>
      <c r="D93" s="1302"/>
      <c r="E93" s="1302"/>
      <c r="F93" s="1302"/>
      <c r="I93" s="491"/>
    </row>
    <row r="94" spans="1:9" ht="14.4">
      <c r="A94" s="485"/>
      <c r="B94" s="485"/>
      <c r="D94" s="1302"/>
      <c r="E94" s="1302"/>
      <c r="F94" s="1302"/>
      <c r="I94" s="491"/>
    </row>
    <row r="95" spans="1:9" ht="14.4">
      <c r="A95" s="485"/>
      <c r="B95" s="485"/>
      <c r="D95" s="446"/>
      <c r="E95" s="446"/>
      <c r="F95" s="446"/>
      <c r="I95" s="491"/>
    </row>
    <row r="96" spans="1:9" ht="14.4">
      <c r="A96" s="485"/>
      <c r="B96" s="486" t="s">
        <v>306</v>
      </c>
      <c r="D96" s="1302" t="s">
        <v>1744</v>
      </c>
      <c r="E96" s="1302"/>
      <c r="F96" s="1302"/>
      <c r="I96" s="491"/>
    </row>
    <row r="97" spans="1:9" s="988" customFormat="1" ht="14.4">
      <c r="A97" s="986"/>
      <c r="B97" s="986"/>
      <c r="C97" s="987"/>
      <c r="D97" s="1302"/>
      <c r="E97" s="1302"/>
      <c r="F97" s="130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302" t="s">
        <v>1743</v>
      </c>
      <c r="E100" s="1302"/>
      <c r="F100" s="1302"/>
      <c r="I100" s="491"/>
    </row>
    <row r="101" spans="1:9" ht="14.4">
      <c r="A101" s="485"/>
      <c r="B101" s="485"/>
      <c r="D101" s="1302"/>
      <c r="E101" s="1302"/>
      <c r="F101" s="1302"/>
      <c r="I101" s="491"/>
    </row>
    <row r="102" spans="1:9" ht="14.4">
      <c r="A102" s="485"/>
      <c r="B102" s="485"/>
      <c r="D102" s="446"/>
      <c r="E102" s="446"/>
      <c r="F102" s="446"/>
      <c r="I102" s="491"/>
    </row>
    <row r="103" spans="1:9" ht="14.55" customHeight="1">
      <c r="A103" s="485"/>
      <c r="B103" s="486" t="s">
        <v>306</v>
      </c>
      <c r="D103" s="1302" t="s">
        <v>1194</v>
      </c>
      <c r="E103" s="1302"/>
      <c r="F103" s="1302"/>
      <c r="I103" s="491"/>
    </row>
    <row r="104" spans="1:9" ht="14.4">
      <c r="A104" s="485"/>
      <c r="B104" s="485"/>
      <c r="D104" s="1302"/>
      <c r="E104" s="1302"/>
      <c r="F104" s="1302"/>
      <c r="I104" s="491"/>
    </row>
    <row r="105" spans="1:9" ht="14.4">
      <c r="A105" s="485"/>
      <c r="B105" s="485"/>
      <c r="D105" s="1302"/>
      <c r="E105" s="1302"/>
      <c r="F105" s="1302"/>
      <c r="I105" s="491"/>
    </row>
    <row r="106" spans="1:9" ht="14.4">
      <c r="A106" s="485"/>
      <c r="B106" s="485"/>
      <c r="D106" s="1302"/>
      <c r="E106" s="1302"/>
      <c r="F106" s="1302"/>
      <c r="I106" s="491"/>
    </row>
    <row r="107" spans="1:9" ht="14.4">
      <c r="A107" s="485"/>
      <c r="B107" s="485"/>
      <c r="D107" s="1302"/>
      <c r="E107" s="1302"/>
      <c r="F107" s="1302"/>
      <c r="I107" s="491"/>
    </row>
    <row r="108" spans="1:9" ht="14.4">
      <c r="A108" s="485"/>
      <c r="B108" s="485"/>
      <c r="D108" s="1302"/>
      <c r="E108" s="1302"/>
      <c r="F108" s="1302"/>
      <c r="I108" s="491"/>
    </row>
    <row r="109" spans="1:9" ht="14.4">
      <c r="A109" s="485"/>
      <c r="B109" s="485"/>
      <c r="D109" s="1302"/>
      <c r="E109" s="1302"/>
      <c r="F109" s="1302"/>
      <c r="I109" s="491"/>
    </row>
    <row r="110" spans="1:9" ht="14.4">
      <c r="A110" s="485"/>
      <c r="B110" s="485"/>
      <c r="D110" s="1302"/>
      <c r="E110" s="1302"/>
      <c r="F110" s="1302"/>
      <c r="I110" s="491"/>
    </row>
    <row r="111" spans="1:9" ht="14.4">
      <c r="A111" s="485"/>
      <c r="B111" s="485"/>
      <c r="D111" s="1302"/>
      <c r="E111" s="1302"/>
      <c r="F111" s="1302"/>
      <c r="I111" s="491"/>
    </row>
    <row r="112" spans="1:9" ht="14.4">
      <c r="A112" s="485"/>
      <c r="B112" s="485"/>
      <c r="D112" s="1302"/>
      <c r="E112" s="1302"/>
      <c r="F112" s="1302"/>
      <c r="I112" s="491"/>
    </row>
    <row r="113" spans="1:9" ht="14.4">
      <c r="A113" s="485"/>
      <c r="B113" s="485"/>
      <c r="D113" s="1302"/>
      <c r="E113" s="1302"/>
      <c r="F113" s="1302"/>
      <c r="I113" s="491"/>
    </row>
    <row r="114" spans="1:9" ht="14.4">
      <c r="A114" s="485"/>
      <c r="B114" s="485"/>
      <c r="D114" s="1302"/>
      <c r="E114" s="1302"/>
      <c r="F114" s="1302"/>
      <c r="I114" s="491"/>
    </row>
    <row r="115" spans="1:9" ht="14.4">
      <c r="A115" s="485"/>
      <c r="B115" s="485"/>
      <c r="D115" s="1302"/>
      <c r="E115" s="1302"/>
      <c r="F115" s="1302"/>
      <c r="I115" s="491"/>
    </row>
    <row r="116" spans="1:9" ht="14.4">
      <c r="A116" s="485"/>
      <c r="B116" s="485"/>
      <c r="D116" s="1302"/>
      <c r="E116" s="1302"/>
      <c r="F116" s="1302"/>
      <c r="I116" s="491"/>
    </row>
    <row r="117" spans="1:9" ht="14.4">
      <c r="A117" s="485"/>
      <c r="B117" s="485"/>
      <c r="D117" s="1302"/>
      <c r="E117" s="1302"/>
      <c r="F117" s="1302"/>
      <c r="I117" s="491"/>
    </row>
    <row r="118" spans="1:9" ht="14.4">
      <c r="A118" s="485"/>
      <c r="B118" s="485"/>
      <c r="D118" s="525"/>
      <c r="E118" s="525"/>
      <c r="F118" s="525"/>
      <c r="I118" s="491"/>
    </row>
    <row r="119" spans="1:9" ht="14.25" customHeight="1">
      <c r="A119" s="485"/>
      <c r="B119" s="486" t="s">
        <v>306</v>
      </c>
      <c r="D119" s="1324" t="s">
        <v>1103</v>
      </c>
      <c r="E119" s="1324"/>
      <c r="F119" s="1324"/>
      <c r="I119" s="491"/>
    </row>
    <row r="120" spans="1:9" ht="14.4">
      <c r="A120" s="485"/>
      <c r="B120" s="485"/>
      <c r="D120" s="1324"/>
      <c r="E120" s="1324"/>
      <c r="F120" s="1324"/>
      <c r="I120" s="491"/>
    </row>
    <row r="121" spans="1:9" ht="14.4">
      <c r="A121" s="485"/>
      <c r="B121" s="485"/>
      <c r="D121" s="1324"/>
      <c r="E121" s="1324"/>
      <c r="F121" s="1324"/>
      <c r="I121" s="491"/>
    </row>
    <row r="122" spans="1:9" ht="14.4">
      <c r="A122" s="485"/>
      <c r="B122" s="485"/>
      <c r="D122" s="1324"/>
      <c r="E122" s="1324"/>
      <c r="F122" s="1324"/>
      <c r="I122" s="491"/>
    </row>
    <row r="123" spans="1:9" ht="14.4">
      <c r="A123" s="485"/>
      <c r="B123" s="485"/>
      <c r="D123" s="1324"/>
      <c r="E123" s="1324"/>
      <c r="F123" s="1324"/>
      <c r="I123" s="491"/>
    </row>
    <row r="124" spans="1:9" ht="14.4">
      <c r="A124" s="485"/>
      <c r="B124" s="485"/>
      <c r="D124" s="1324"/>
      <c r="E124" s="1324"/>
      <c r="F124" s="1324"/>
      <c r="I124" s="491"/>
    </row>
    <row r="125" spans="1:9" ht="14.4">
      <c r="A125" s="485"/>
      <c r="B125" s="485"/>
      <c r="D125" s="1324"/>
      <c r="E125" s="1324"/>
      <c r="F125" s="1324"/>
      <c r="I125" s="491"/>
    </row>
    <row r="126" spans="1:9" ht="14.4">
      <c r="A126" s="485"/>
      <c r="B126" s="485"/>
      <c r="D126" s="1324"/>
      <c r="E126" s="1324"/>
      <c r="F126" s="1324"/>
      <c r="I126" s="491"/>
    </row>
    <row r="127" spans="1:9">
      <c r="C127" s="403"/>
      <c r="D127" s="526"/>
      <c r="E127" s="526"/>
      <c r="F127" s="526"/>
      <c r="I127" s="491"/>
    </row>
    <row r="128" spans="1:9" ht="14.4">
      <c r="A128" s="485"/>
      <c r="B128" s="486" t="s">
        <v>306</v>
      </c>
      <c r="C128" s="403"/>
      <c r="D128" s="1324" t="s">
        <v>2051</v>
      </c>
      <c r="E128" s="1324"/>
      <c r="F128" s="1324"/>
      <c r="I128" s="491"/>
    </row>
    <row r="129" spans="1:9" ht="14.4">
      <c r="A129" s="485"/>
      <c r="B129" s="485"/>
      <c r="C129" s="403"/>
      <c r="D129" s="1324"/>
      <c r="E129" s="1324"/>
      <c r="F129" s="1324"/>
      <c r="I129" s="491"/>
    </row>
    <row r="130" spans="1:9">
      <c r="I130" s="491"/>
    </row>
    <row r="131" spans="1:9" ht="14.4">
      <c r="A131" s="485"/>
      <c r="B131" s="486" t="s">
        <v>306</v>
      </c>
      <c r="D131" s="1302" t="s">
        <v>1104</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ht="14.4">
      <c r="A137" s="485"/>
      <c r="B137" s="486" t="s">
        <v>306</v>
      </c>
      <c r="D137" s="1302" t="s">
        <v>1105</v>
      </c>
      <c r="E137" s="1302"/>
      <c r="F137" s="1302"/>
      <c r="I137" s="491"/>
    </row>
    <row r="138" spans="1:9" s="418" customFormat="1" ht="13.8" customHeight="1">
      <c r="A138" s="489"/>
      <c r="B138" s="489"/>
      <c r="C138" s="489"/>
      <c r="D138" s="1302"/>
      <c r="E138" s="1302"/>
      <c r="F138" s="1302"/>
      <c r="I138" s="1157"/>
    </row>
    <row r="139" spans="1:9" ht="13.8" customHeight="1">
      <c r="D139" s="1302"/>
      <c r="E139" s="1302"/>
      <c r="F139" s="1302"/>
      <c r="I139" s="491"/>
    </row>
    <row r="140" spans="1:9" ht="13.8" customHeight="1">
      <c r="D140" s="1302"/>
      <c r="E140" s="1302"/>
      <c r="F140" s="1302"/>
      <c r="I140" s="491"/>
    </row>
    <row r="141" spans="1:9" ht="13.8" customHeight="1">
      <c r="D141" s="1302"/>
      <c r="E141" s="1302"/>
      <c r="F141" s="1302"/>
      <c r="I141" s="491"/>
    </row>
    <row r="142" spans="1:9" ht="13.8" customHeight="1">
      <c r="A142" s="490"/>
      <c r="B142" s="490"/>
      <c r="D142" s="1302"/>
      <c r="E142" s="1302"/>
      <c r="F142" s="1302"/>
      <c r="I142" s="491"/>
    </row>
    <row r="143" spans="1:9" ht="13.8" customHeight="1">
      <c r="D143" s="1302"/>
      <c r="E143" s="1302"/>
      <c r="F143" s="1302"/>
      <c r="I143" s="491"/>
    </row>
    <row r="144" spans="1:9" ht="13.8" customHeight="1">
      <c r="D144" s="1302"/>
      <c r="E144" s="1302"/>
      <c r="F144" s="1302"/>
      <c r="I144" s="491"/>
    </row>
    <row r="145" spans="2:9" ht="13.8" customHeight="1">
      <c r="D145" s="1302"/>
      <c r="E145" s="1302"/>
      <c r="F145" s="1302"/>
      <c r="I145" s="491"/>
    </row>
    <row r="146" spans="2:9" ht="13.8" customHeight="1">
      <c r="D146" s="1302"/>
      <c r="E146" s="1302"/>
      <c r="F146" s="1302"/>
      <c r="I146" s="491"/>
    </row>
    <row r="147" spans="2:9" ht="13.8" customHeight="1">
      <c r="D147" s="1302"/>
      <c r="E147" s="1302"/>
      <c r="F147" s="1302"/>
      <c r="I147" s="491"/>
    </row>
    <row r="148" spans="2:9" ht="13.8" customHeight="1">
      <c r="D148" s="1302"/>
      <c r="E148" s="1302"/>
      <c r="F148" s="1302"/>
      <c r="I148" s="491"/>
    </row>
    <row r="149" spans="2:9" ht="13.8" customHeight="1">
      <c r="D149" s="1302"/>
      <c r="E149" s="1302"/>
      <c r="F149" s="1302"/>
      <c r="I149" s="491"/>
    </row>
    <row r="150" spans="2:9" ht="13.8" customHeight="1">
      <c r="D150" s="477"/>
      <c r="E150" s="447"/>
      <c r="F150" s="447"/>
      <c r="I150" s="491"/>
    </row>
    <row r="151" spans="2:9" ht="13.8" customHeight="1">
      <c r="B151" s="486" t="s">
        <v>306</v>
      </c>
      <c r="D151" s="1302" t="s">
        <v>1177</v>
      </c>
      <c r="E151" s="1302"/>
      <c r="F151" s="1302"/>
      <c r="I151" s="491"/>
    </row>
    <row r="152" spans="2:9" ht="13.8" customHeight="1">
      <c r="D152" s="1302"/>
      <c r="E152" s="1302"/>
      <c r="F152" s="1302"/>
      <c r="I152" s="491"/>
    </row>
    <row r="153" spans="2:9" ht="13.8" customHeight="1">
      <c r="D153" s="1302"/>
      <c r="E153" s="1302"/>
      <c r="F153" s="1302"/>
      <c r="I153" s="491"/>
    </row>
    <row r="154" spans="2:9" ht="13.8" customHeight="1">
      <c r="D154" s="1302"/>
      <c r="E154" s="1302"/>
      <c r="F154" s="1302"/>
      <c r="I154" s="491"/>
    </row>
    <row r="155" spans="2:9" ht="13.8" customHeight="1">
      <c r="D155" s="1302"/>
      <c r="E155" s="1302"/>
      <c r="F155" s="1302"/>
      <c r="I155" s="491"/>
    </row>
    <row r="156" spans="2:9" ht="13.8" customHeight="1">
      <c r="D156" s="1302"/>
      <c r="E156" s="1302"/>
      <c r="F156" s="1302"/>
      <c r="I156" s="491"/>
    </row>
    <row r="157" spans="2:9" ht="13.8" customHeight="1">
      <c r="D157" s="1302"/>
      <c r="E157" s="1302"/>
      <c r="F157" s="1302"/>
      <c r="I157" s="491"/>
    </row>
    <row r="158" spans="2:9" ht="13.8" customHeight="1">
      <c r="D158" s="1302"/>
      <c r="E158" s="1302"/>
      <c r="F158" s="1302"/>
      <c r="I158" s="491"/>
    </row>
    <row r="159" spans="2:9" ht="13.8" customHeight="1">
      <c r="D159" s="1302"/>
      <c r="E159" s="1302"/>
      <c r="F159" s="1302"/>
      <c r="I159" s="491"/>
    </row>
    <row r="160" spans="2:9" ht="13.8" customHeight="1">
      <c r="D160" s="1302"/>
      <c r="E160" s="1302"/>
      <c r="F160" s="1302"/>
      <c r="I160" s="491"/>
    </row>
    <row r="161" spans="1:9" ht="13.8" customHeight="1">
      <c r="D161" s="1302"/>
      <c r="E161" s="1302"/>
      <c r="F161" s="1302"/>
      <c r="I161" s="491"/>
    </row>
    <row r="162" spans="1:9" ht="13.8" customHeight="1">
      <c r="D162" s="1302"/>
      <c r="E162" s="1302"/>
      <c r="F162" s="1302"/>
      <c r="I162" s="491"/>
    </row>
    <row r="163" spans="1:9" ht="13.8" customHeight="1">
      <c r="D163" s="1302"/>
      <c r="E163" s="1302"/>
      <c r="F163" s="1302"/>
      <c r="I163" s="491"/>
    </row>
    <row r="164" spans="1:9" ht="13.8" customHeight="1">
      <c r="D164" s="1302"/>
      <c r="E164" s="1302"/>
      <c r="F164" s="1302"/>
      <c r="I164" s="491"/>
    </row>
    <row r="165" spans="1:9" ht="13.8" customHeight="1">
      <c r="D165" s="1302"/>
      <c r="E165" s="1302"/>
      <c r="F165" s="1302"/>
      <c r="I165" s="491"/>
    </row>
    <row r="166" spans="1:9" ht="13.8" customHeight="1">
      <c r="D166" s="1302"/>
      <c r="E166" s="1302"/>
      <c r="F166" s="1302"/>
      <c r="I166" s="491"/>
    </row>
    <row r="167" spans="1:9" ht="13.8" customHeight="1">
      <c r="D167" s="1302"/>
      <c r="E167" s="1302"/>
      <c r="F167" s="1302"/>
      <c r="I167" s="491"/>
    </row>
    <row r="168" spans="1:9" ht="13.8" customHeight="1">
      <c r="D168" s="1302"/>
      <c r="E168" s="1302"/>
      <c r="F168" s="1302"/>
      <c r="I168" s="491"/>
    </row>
    <row r="169" spans="1:9" ht="13.8" customHeight="1">
      <c r="D169" s="1321" t="s">
        <v>2074</v>
      </c>
      <c r="E169" s="1321"/>
      <c r="F169" s="1321"/>
      <c r="G169" s="508"/>
      <c r="I169" s="491"/>
    </row>
    <row r="170" spans="1:9" ht="13.8" customHeight="1">
      <c r="D170" s="1319"/>
      <c r="E170" s="1319"/>
      <c r="F170" s="1319"/>
      <c r="G170" s="1319"/>
      <c r="I170" s="491"/>
    </row>
    <row r="171" spans="1:9" ht="14.55" customHeight="1">
      <c r="A171" s="490"/>
      <c r="B171" s="486" t="s">
        <v>306</v>
      </c>
      <c r="C171" s="477"/>
      <c r="D171" s="1273" t="s">
        <v>2214</v>
      </c>
      <c r="E171" s="1273"/>
      <c r="F171" s="1273"/>
      <c r="G171" s="477"/>
      <c r="I171" s="491"/>
    </row>
    <row r="172" spans="1:9" ht="14.55" customHeight="1">
      <c r="A172" s="490"/>
      <c r="B172" s="490"/>
      <c r="C172" s="477"/>
      <c r="D172" s="1273"/>
      <c r="E172" s="1273"/>
      <c r="F172" s="1273"/>
      <c r="G172" s="477"/>
      <c r="I172" s="491"/>
    </row>
    <row r="173" spans="1:9" ht="14.55" customHeight="1">
      <c r="A173" s="490"/>
      <c r="B173" s="490"/>
      <c r="C173" s="477"/>
      <c r="D173" s="1273"/>
      <c r="E173" s="1273"/>
      <c r="F173" s="1273"/>
      <c r="G173" s="477"/>
      <c r="I173" s="491"/>
    </row>
    <row r="174" spans="1:9" ht="14.55" customHeight="1">
      <c r="A174" s="490"/>
      <c r="B174" s="490"/>
      <c r="C174" s="477"/>
      <c r="D174" s="1273"/>
      <c r="E174" s="1273"/>
      <c r="F174" s="1273"/>
      <c r="G174" s="477"/>
      <c r="I174" s="491"/>
    </row>
    <row r="175" spans="1:9" ht="13.8" customHeight="1">
      <c r="A175" s="490"/>
      <c r="B175" s="490"/>
      <c r="C175" s="477"/>
      <c r="D175" s="1273"/>
      <c r="E175" s="1273"/>
      <c r="F175" s="1273"/>
      <c r="G175" s="477"/>
      <c r="I175" s="491"/>
    </row>
    <row r="176" spans="1:9" ht="13.8" customHeight="1">
      <c r="A176" s="490"/>
      <c r="B176" s="490"/>
      <c r="C176" s="477"/>
      <c r="D176" s="477"/>
      <c r="E176" s="477"/>
      <c r="F176" s="477"/>
      <c r="G176" s="477"/>
      <c r="I176" s="491"/>
    </row>
    <row r="177" spans="1:9" ht="13.8" customHeight="1">
      <c r="A177" s="490"/>
      <c r="B177" s="486" t="s">
        <v>306</v>
      </c>
      <c r="C177" s="477"/>
      <c r="D177" s="1273" t="s">
        <v>1106</v>
      </c>
      <c r="E177" s="1273"/>
      <c r="F177" s="1273"/>
      <c r="G177" s="477"/>
      <c r="I177" s="491"/>
    </row>
    <row r="178" spans="1:9" ht="13.8" customHeight="1">
      <c r="A178" s="490"/>
      <c r="B178" s="490"/>
      <c r="C178" s="477"/>
      <c r="D178" s="1273"/>
      <c r="E178" s="1273"/>
      <c r="F178" s="1273"/>
      <c r="G178" s="477"/>
      <c r="I178" s="491"/>
    </row>
    <row r="179" spans="1:9" ht="13.8" customHeight="1">
      <c r="A179" s="490"/>
      <c r="B179" s="490"/>
      <c r="C179" s="477"/>
      <c r="D179" s="1273"/>
      <c r="E179" s="1273"/>
      <c r="F179" s="1273"/>
      <c r="G179" s="477"/>
      <c r="I179" s="491"/>
    </row>
    <row r="180" spans="1:9" ht="13.8" customHeight="1">
      <c r="A180" s="490"/>
      <c r="B180" s="490"/>
      <c r="C180" s="477"/>
      <c r="D180" s="1273"/>
      <c r="E180" s="1273"/>
      <c r="F180" s="1273"/>
      <c r="G180" s="477"/>
      <c r="I180" s="491"/>
    </row>
    <row r="181" spans="1:9" ht="13.8" customHeight="1">
      <c r="D181" s="447"/>
      <c r="E181" s="447"/>
      <c r="F181" s="447"/>
      <c r="I181" s="491"/>
    </row>
    <row r="182" spans="1:9" ht="13.8" customHeight="1">
      <c r="B182" s="486" t="s">
        <v>306</v>
      </c>
      <c r="D182" s="1314" t="s">
        <v>2052</v>
      </c>
      <c r="E182" s="1314"/>
      <c r="F182" s="1314"/>
      <c r="I182" s="491"/>
    </row>
    <row r="183" spans="1:9" ht="13.8" customHeight="1">
      <c r="D183" s="1314"/>
      <c r="E183" s="1314"/>
      <c r="F183" s="1314"/>
      <c r="I183" s="491"/>
    </row>
    <row r="184" spans="1:9" ht="13.8" customHeight="1">
      <c r="D184" s="1314"/>
      <c r="E184" s="1314"/>
      <c r="F184" s="1314"/>
      <c r="I184" s="491"/>
    </row>
    <row r="185" spans="1:9" ht="13.8" customHeight="1">
      <c r="A185" s="491"/>
      <c r="B185" s="491"/>
      <c r="E185" s="447"/>
      <c r="F185" s="447"/>
      <c r="I185" s="491"/>
    </row>
    <row r="186" spans="1:9">
      <c r="A186" s="1309" t="s">
        <v>2053</v>
      </c>
      <c r="B186" s="1309"/>
      <c r="C186" s="1309"/>
      <c r="D186" s="1309"/>
      <c r="E186" s="1309"/>
      <c r="F186" s="1309"/>
      <c r="G186" s="1309"/>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9" t="s">
        <v>1045</v>
      </c>
      <c r="B191" s="1309"/>
      <c r="C191" s="1309"/>
      <c r="D191" s="1309"/>
      <c r="E191" s="1309"/>
      <c r="F191" s="1309"/>
      <c r="G191" s="1309"/>
      <c r="H191" s="1029"/>
      <c r="I191" s="1155"/>
    </row>
    <row r="192" spans="1:9" ht="12" customHeight="1">
      <c r="A192" s="405"/>
      <c r="B192" s="405"/>
      <c r="E192" s="405"/>
      <c r="I192" s="491"/>
    </row>
    <row r="193" spans="1:9" ht="13.8" customHeight="1">
      <c r="A193" s="405"/>
      <c r="B193" s="405"/>
      <c r="D193" s="1318" t="s">
        <v>1746</v>
      </c>
      <c r="E193" s="1318"/>
      <c r="F193" s="1318"/>
      <c r="I193" s="491"/>
    </row>
    <row r="194" spans="1:9">
      <c r="A194" s="405"/>
      <c r="B194" s="405"/>
      <c r="D194" s="1318"/>
      <c r="E194" s="1318"/>
      <c r="F194" s="1318"/>
      <c r="I194" s="491"/>
    </row>
    <row r="195" spans="1:9">
      <c r="A195" s="405"/>
      <c r="B195" s="405"/>
      <c r="D195" s="1304" t="s">
        <v>1195</v>
      </c>
      <c r="E195" s="1304"/>
      <c r="F195" s="1304"/>
      <c r="I195" s="491"/>
    </row>
    <row r="196" spans="1:9">
      <c r="A196" s="405"/>
      <c r="B196" s="405"/>
      <c r="D196" s="393"/>
      <c r="E196" s="393"/>
      <c r="F196" s="393"/>
      <c r="I196" s="491"/>
    </row>
    <row r="197" spans="1:9">
      <c r="A197" s="405"/>
      <c r="B197" s="486" t="s">
        <v>306</v>
      </c>
      <c r="D197" s="1289" t="s">
        <v>1747</v>
      </c>
      <c r="E197" s="1289"/>
      <c r="F197" s="1289"/>
      <c r="I197" s="491"/>
    </row>
    <row r="198" spans="1:9">
      <c r="A198" s="405"/>
      <c r="B198" s="405"/>
      <c r="D198" s="1288" t="s">
        <v>1902</v>
      </c>
      <c r="E198" s="1288"/>
      <c r="F198" s="1288"/>
      <c r="I198" s="491"/>
    </row>
    <row r="199" spans="1:9">
      <c r="A199" s="405"/>
      <c r="B199" s="405"/>
      <c r="D199" s="96" t="s">
        <v>1748</v>
      </c>
      <c r="E199" s="1326" t="s">
        <v>1925</v>
      </c>
      <c r="F199" s="1326"/>
      <c r="I199" s="491"/>
    </row>
    <row r="200" spans="1:9">
      <c r="A200" s="405"/>
      <c r="B200" s="405"/>
      <c r="D200" s="3"/>
      <c r="E200" s="3"/>
      <c r="F200" s="3"/>
      <c r="I200" s="491"/>
    </row>
    <row r="201" spans="1:9">
      <c r="A201" s="405"/>
      <c r="B201" s="486" t="s">
        <v>306</v>
      </c>
      <c r="D201" s="1288" t="s">
        <v>1749</v>
      </c>
      <c r="E201" s="1288"/>
      <c r="F201" s="1288"/>
      <c r="I201" s="491"/>
    </row>
    <row r="202" spans="1:9">
      <c r="A202" s="405"/>
      <c r="B202" s="405"/>
      <c r="D202" s="1289" t="s">
        <v>1902</v>
      </c>
      <c r="E202" s="1289"/>
      <c r="F202" s="1289"/>
      <c r="I202" s="491"/>
    </row>
    <row r="203" spans="1:9">
      <c r="A203" s="405"/>
      <c r="B203" s="405"/>
      <c r="D203" s="57" t="s">
        <v>1750</v>
      </c>
      <c r="E203" s="1326" t="s">
        <v>1926</v>
      </c>
      <c r="F203" s="1326"/>
      <c r="I203" s="491"/>
    </row>
    <row r="204" spans="1:9">
      <c r="A204" s="405"/>
      <c r="B204" s="405"/>
      <c r="D204" s="3"/>
      <c r="E204" s="3"/>
      <c r="F204" s="3"/>
      <c r="I204" s="491"/>
    </row>
    <row r="205" spans="1:9">
      <c r="A205" s="405"/>
      <c r="B205" s="486" t="s">
        <v>306</v>
      </c>
      <c r="D205" s="1288" t="s">
        <v>1751</v>
      </c>
      <c r="E205" s="1288"/>
      <c r="F205" s="1288"/>
      <c r="I205" s="491"/>
    </row>
    <row r="206" spans="1:9">
      <c r="A206" s="405"/>
      <c r="B206" s="405"/>
      <c r="D206" s="1289" t="s">
        <v>1902</v>
      </c>
      <c r="E206" s="1289"/>
      <c r="F206" s="1289"/>
      <c r="I206" s="491"/>
    </row>
    <row r="207" spans="1:9">
      <c r="A207" s="405"/>
      <c r="B207" s="405"/>
      <c r="D207" s="57" t="s">
        <v>1748</v>
      </c>
      <c r="E207" s="1326" t="s">
        <v>1927</v>
      </c>
      <c r="F207" s="1326"/>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289" t="s">
        <v>1902</v>
      </c>
      <c r="E210" s="1289"/>
      <c r="F210" s="1289"/>
      <c r="I210" s="491"/>
    </row>
    <row r="211" spans="1:9">
      <c r="D211" s="386"/>
      <c r="E211" s="1326" t="s">
        <v>1928</v>
      </c>
      <c r="F211" s="1326"/>
      <c r="I211" s="491"/>
    </row>
    <row r="212" spans="1:9">
      <c r="D212" s="448"/>
      <c r="I212" s="491"/>
    </row>
    <row r="213" spans="1:9">
      <c r="B213" s="486" t="s">
        <v>306</v>
      </c>
      <c r="D213" s="1288" t="s">
        <v>1752</v>
      </c>
      <c r="E213" s="1288"/>
      <c r="F213" s="1288"/>
      <c r="I213" s="491"/>
    </row>
    <row r="214" spans="1:9">
      <c r="D214" s="1289" t="s">
        <v>1902</v>
      </c>
      <c r="E214" s="1289"/>
      <c r="F214" s="1289"/>
      <c r="I214" s="491"/>
    </row>
    <row r="215" spans="1:9">
      <c r="D215" s="57" t="s">
        <v>1748</v>
      </c>
      <c r="E215" s="1326" t="s">
        <v>1929</v>
      </c>
      <c r="F215" s="1326"/>
      <c r="I215" s="491"/>
    </row>
    <row r="216" spans="1:9">
      <c r="D216" s="452"/>
      <c r="E216" s="452"/>
      <c r="F216" s="452"/>
      <c r="I216" s="491"/>
    </row>
    <row r="217" spans="1:9" ht="14.4">
      <c r="A217" s="485"/>
      <c r="B217" s="486" t="s">
        <v>306</v>
      </c>
      <c r="D217" s="1302" t="s">
        <v>1216</v>
      </c>
      <c r="E217" s="1302"/>
      <c r="F217" s="1302"/>
      <c r="I217" s="491"/>
    </row>
    <row r="218" spans="1:9" ht="14.55" customHeight="1">
      <c r="A218" s="485"/>
      <c r="B218" s="403"/>
      <c r="D218" s="1302"/>
      <c r="E218" s="1302"/>
      <c r="F218" s="1302"/>
      <c r="I218" s="491"/>
    </row>
    <row r="219" spans="1:9" ht="14.4">
      <c r="A219" s="485"/>
      <c r="D219" s="1302"/>
      <c r="E219" s="1302"/>
      <c r="F219" s="1302"/>
      <c r="I219" s="491"/>
    </row>
    <row r="220" spans="1:9" ht="14.4">
      <c r="A220" s="485"/>
      <c r="D220" s="1302"/>
      <c r="E220" s="1302"/>
      <c r="F220" s="1302"/>
      <c r="I220" s="491"/>
    </row>
    <row r="221" spans="1:9">
      <c r="D221" s="452"/>
      <c r="E221" s="452"/>
      <c r="F221" s="452"/>
      <c r="I221" s="491"/>
    </row>
    <row r="222" spans="1:9">
      <c r="A222" s="1309" t="s">
        <v>1046</v>
      </c>
      <c r="B222" s="1309"/>
      <c r="C222" s="1309"/>
      <c r="D222" s="1309"/>
      <c r="E222" s="1309"/>
      <c r="F222" s="1309"/>
      <c r="G222" s="1309"/>
      <c r="H222" s="1029"/>
      <c r="I222" s="1155"/>
    </row>
    <row r="223" spans="1:9" ht="12" customHeight="1">
      <c r="D223" s="447"/>
      <c r="E223" s="447"/>
      <c r="F223" s="447"/>
      <c r="I223" s="491"/>
    </row>
    <row r="224" spans="1:9">
      <c r="C224" s="487"/>
      <c r="D224" s="1310" t="s">
        <v>207</v>
      </c>
      <c r="E224" s="1310"/>
      <c r="F224" s="1310"/>
      <c r="I224" s="491"/>
    </row>
    <row r="225" spans="1:9">
      <c r="A225" s="483"/>
      <c r="B225" s="483"/>
      <c r="C225" s="483"/>
      <c r="D225" s="1300" t="s">
        <v>1120</v>
      </c>
      <c r="E225" s="1300"/>
      <c r="F225" s="1300"/>
      <c r="I225" s="491"/>
    </row>
    <row r="226" spans="1:9" ht="12" customHeight="1">
      <c r="A226" s="491"/>
      <c r="B226" s="491"/>
      <c r="C226" s="491"/>
      <c r="I226" s="491"/>
    </row>
    <row r="227" spans="1:9" ht="13.8" customHeight="1">
      <c r="A227" s="491"/>
      <c r="C227" s="491"/>
      <c r="D227" s="1310" t="s">
        <v>546</v>
      </c>
      <c r="E227" s="1310"/>
      <c r="F227" s="1310"/>
      <c r="I227" s="491"/>
    </row>
    <row r="228" spans="1:9" ht="14.4">
      <c r="A228" s="485"/>
      <c r="B228" s="486" t="s">
        <v>306</v>
      </c>
      <c r="D228" s="1302" t="s">
        <v>1753</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ht="14.4">
      <c r="A231" s="485"/>
      <c r="B231" s="485"/>
      <c r="D231" s="1302"/>
      <c r="E231" s="1302"/>
      <c r="F231" s="1302"/>
      <c r="I231" s="491"/>
    </row>
    <row r="232" spans="1:9" ht="14.4">
      <c r="A232" s="485"/>
      <c r="B232" s="485"/>
      <c r="D232" s="446"/>
      <c r="E232" s="446"/>
      <c r="F232" s="446"/>
      <c r="I232" s="491"/>
    </row>
    <row r="233" spans="1:9" ht="14.4">
      <c r="A233" s="485"/>
      <c r="B233" s="486" t="s">
        <v>306</v>
      </c>
      <c r="D233" s="1302" t="s">
        <v>1754</v>
      </c>
      <c r="E233" s="1302"/>
      <c r="F233" s="1302"/>
      <c r="I233" s="491"/>
    </row>
    <row r="234" spans="1:9" ht="14.4">
      <c r="A234" s="485"/>
      <c r="B234" s="485"/>
      <c r="D234" s="1302"/>
      <c r="E234" s="1302"/>
      <c r="F234" s="1302"/>
      <c r="I234" s="491"/>
    </row>
    <row r="235" spans="1:9" ht="14.4">
      <c r="A235" s="485"/>
      <c r="B235" s="485"/>
      <c r="D235" s="1302"/>
      <c r="E235" s="1302"/>
      <c r="F235" s="1302"/>
      <c r="I235" s="491"/>
    </row>
    <row r="236" spans="1:9" ht="14.4">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ht="14.4">
      <c r="A239" s="485"/>
      <c r="B239" s="485"/>
      <c r="D239" s="1302" t="s">
        <v>1118</v>
      </c>
      <c r="E239" s="1302"/>
      <c r="F239" s="1302"/>
      <c r="I239" s="491"/>
    </row>
    <row r="240" spans="1:9" ht="14.4">
      <c r="A240" s="485"/>
      <c r="B240" s="485"/>
      <c r="D240" s="1302"/>
      <c r="E240" s="1302"/>
      <c r="F240" s="1302"/>
      <c r="I240" s="491"/>
    </row>
    <row r="241" spans="1:9" ht="14.4">
      <c r="A241" s="485"/>
      <c r="B241" s="485"/>
      <c r="D241" s="1302"/>
      <c r="E241" s="1302"/>
      <c r="F241" s="1302"/>
      <c r="I241" s="491"/>
    </row>
    <row r="242" spans="1:9" ht="14.4">
      <c r="A242" s="485"/>
      <c r="B242" s="485"/>
      <c r="D242" s="1302"/>
      <c r="E242" s="1302"/>
      <c r="F242" s="1302"/>
      <c r="I242" s="491"/>
    </row>
    <row r="243" spans="1:9" ht="14.4">
      <c r="A243" s="485"/>
      <c r="B243" s="485"/>
      <c r="D243" s="1302"/>
      <c r="E243" s="1302"/>
      <c r="F243" s="1302"/>
      <c r="I243" s="491"/>
    </row>
    <row r="244" spans="1:9" ht="14.4">
      <c r="A244" s="485"/>
      <c r="B244" s="485"/>
      <c r="D244" s="447"/>
      <c r="E244" s="447"/>
      <c r="F244" s="447"/>
      <c r="I244" s="491"/>
    </row>
    <row r="245" spans="1:9" ht="14.4">
      <c r="A245" s="485"/>
      <c r="B245" s="486" t="s">
        <v>306</v>
      </c>
      <c r="D245" s="1302" t="s">
        <v>2054</v>
      </c>
      <c r="E245" s="1302"/>
      <c r="F245" s="1302"/>
      <c r="I245" s="491"/>
    </row>
    <row r="246" spans="1:9" ht="14.4">
      <c r="A246" s="485"/>
      <c r="B246" s="485"/>
      <c r="D246" s="1302"/>
      <c r="E246" s="1302"/>
      <c r="F246" s="1302"/>
      <c r="I246" s="491"/>
    </row>
    <row r="247" spans="1:9" ht="14.4">
      <c r="A247" s="485"/>
      <c r="B247" s="485"/>
      <c r="D247" s="1302"/>
      <c r="E247" s="1302"/>
      <c r="F247" s="1302"/>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302" t="s">
        <v>2055</v>
      </c>
      <c r="E250" s="1302"/>
      <c r="F250" s="1302"/>
      <c r="I250" s="491"/>
    </row>
    <row r="251" spans="1:9" ht="14.4">
      <c r="A251" s="485"/>
      <c r="B251" s="485"/>
      <c r="D251" s="1302"/>
      <c r="E251" s="1302"/>
      <c r="F251" s="1302"/>
      <c r="I251" s="491"/>
    </row>
    <row r="252" spans="1:9" ht="14.4">
      <c r="A252" s="485"/>
      <c r="B252" s="485"/>
      <c r="D252" s="1302"/>
      <c r="E252" s="1302"/>
      <c r="F252" s="1302"/>
      <c r="I252" s="491"/>
    </row>
    <row r="253" spans="1:9" ht="14.4">
      <c r="A253" s="485"/>
      <c r="B253" s="485"/>
      <c r="D253" s="1302"/>
      <c r="E253" s="1302"/>
      <c r="F253" s="1302"/>
      <c r="I253" s="491"/>
    </row>
    <row r="254" spans="1:9" ht="14.4">
      <c r="A254" s="485"/>
      <c r="B254" s="485"/>
      <c r="D254" s="1302"/>
      <c r="E254" s="1302"/>
      <c r="F254" s="1302"/>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302" t="s">
        <v>1119</v>
      </c>
      <c r="E259" s="1302"/>
      <c r="F259" s="1302"/>
      <c r="I259" s="491"/>
    </row>
    <row r="260" spans="1:9" ht="14.4">
      <c r="A260" s="485"/>
      <c r="B260" s="485"/>
      <c r="D260" s="1302"/>
      <c r="E260" s="1302"/>
      <c r="F260" s="1302"/>
      <c r="I260" s="491"/>
    </row>
    <row r="261" spans="1:9">
      <c r="D261" s="492"/>
      <c r="I261" s="491"/>
    </row>
    <row r="262" spans="1:9">
      <c r="A262" s="1309" t="s">
        <v>1047</v>
      </c>
      <c r="B262" s="1309"/>
      <c r="C262" s="1309"/>
      <c r="D262" s="1309"/>
      <c r="E262" s="1309"/>
      <c r="F262" s="1309"/>
      <c r="G262" s="1309"/>
      <c r="H262" s="1029"/>
      <c r="I262" s="1155"/>
    </row>
    <row r="263" spans="1:9">
      <c r="D263" s="492"/>
      <c r="I263" s="491"/>
    </row>
    <row r="264" spans="1:9">
      <c r="C264" s="487"/>
      <c r="D264" s="1310" t="s">
        <v>1121</v>
      </c>
      <c r="E264" s="1310"/>
      <c r="F264" s="1310"/>
      <c r="I264" s="491"/>
    </row>
    <row r="265" spans="1:9">
      <c r="A265" s="483"/>
      <c r="B265" s="483"/>
      <c r="C265" s="483"/>
      <c r="D265" s="447"/>
      <c r="E265" s="447"/>
      <c r="F265" s="447"/>
      <c r="I265" s="491"/>
    </row>
    <row r="266" spans="1:9">
      <c r="A266" s="484"/>
      <c r="B266" s="484"/>
      <c r="C266" s="484"/>
      <c r="D266" s="1310" t="s">
        <v>268</v>
      </c>
      <c r="E266" s="1310"/>
      <c r="F266" s="1310"/>
      <c r="I266" s="491"/>
    </row>
    <row r="267" spans="1:9" ht="14.55" customHeight="1">
      <c r="A267" s="485"/>
      <c r="B267" s="486" t="s">
        <v>306</v>
      </c>
      <c r="D267" s="1302" t="s">
        <v>1196</v>
      </c>
      <c r="E267" s="1302"/>
      <c r="F267" s="1302"/>
      <c r="I267" s="491"/>
    </row>
    <row r="268" spans="1:9">
      <c r="D268" s="1302"/>
      <c r="E268" s="1302"/>
      <c r="F268" s="1302"/>
      <c r="I268" s="491"/>
    </row>
    <row r="269" spans="1:9">
      <c r="E269" s="1037" t="s">
        <v>1898</v>
      </c>
      <c r="I269" s="491"/>
    </row>
    <row r="270" spans="1:9">
      <c r="D270" s="447"/>
      <c r="E270" s="447"/>
      <c r="F270" s="447"/>
      <c r="I270" s="491"/>
    </row>
    <row r="271" spans="1:9" ht="14.55" customHeight="1">
      <c r="A271" s="485"/>
      <c r="B271" s="486" t="s">
        <v>306</v>
      </c>
      <c r="D271" s="1302" t="s">
        <v>2057</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ht="14.4">
      <c r="A278" s="485"/>
      <c r="B278" s="486" t="s">
        <v>306</v>
      </c>
      <c r="D278" s="1302" t="s">
        <v>1122</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1048</v>
      </c>
      <c r="B282" s="1309"/>
      <c r="C282" s="1309"/>
      <c r="D282" s="1309"/>
      <c r="E282" s="1309"/>
      <c r="F282" s="1309"/>
      <c r="G282" s="1309"/>
      <c r="H282" s="1029"/>
      <c r="I282" s="1155"/>
    </row>
    <row r="283" spans="1:9">
      <c r="D283" s="493"/>
      <c r="E283" s="447"/>
      <c r="F283" s="447"/>
      <c r="I283" s="491"/>
    </row>
    <row r="284" spans="1:9">
      <c r="C284" s="483"/>
      <c r="D284" s="1318" t="s">
        <v>1123</v>
      </c>
      <c r="E284" s="1318"/>
      <c r="F284" s="1318"/>
      <c r="I284" s="491"/>
    </row>
    <row r="285" spans="1:9">
      <c r="C285" s="483"/>
      <c r="D285" s="1318"/>
      <c r="E285" s="1318"/>
      <c r="F285" s="1318"/>
      <c r="I285" s="491"/>
    </row>
    <row r="286" spans="1:9">
      <c r="A286" s="484"/>
      <c r="B286" s="484"/>
      <c r="C286" s="484"/>
      <c r="D286" s="405"/>
      <c r="I286" s="491"/>
    </row>
    <row r="287" spans="1:9">
      <c r="C287" s="484"/>
      <c r="D287" s="1310" t="s">
        <v>208</v>
      </c>
      <c r="E287" s="1310"/>
      <c r="F287" s="1310"/>
      <c r="I287" s="491"/>
    </row>
    <row r="288" spans="1:9" ht="15.75" customHeight="1">
      <c r="A288" s="485"/>
      <c r="B288" s="485"/>
      <c r="D288" s="1327" t="s">
        <v>1124</v>
      </c>
      <c r="E288" s="1327"/>
      <c r="F288" s="1327"/>
      <c r="I288" s="491"/>
    </row>
    <row r="289" spans="1:9">
      <c r="E289" s="447"/>
      <c r="F289" s="447"/>
      <c r="I289" s="491"/>
    </row>
    <row r="290" spans="1:9" ht="14.4">
      <c r="A290" s="485"/>
      <c r="B290" s="486" t="s">
        <v>306</v>
      </c>
      <c r="D290" s="1302" t="s">
        <v>1125</v>
      </c>
      <c r="E290" s="1302"/>
      <c r="F290" s="1302"/>
      <c r="I290" s="491"/>
    </row>
    <row r="291" spans="1:9" ht="14.4">
      <c r="A291" s="485"/>
      <c r="B291" s="485"/>
      <c r="D291" s="1302"/>
      <c r="E291" s="1302"/>
      <c r="F291" s="1302"/>
      <c r="I291" s="491"/>
    </row>
    <row r="292" spans="1:9">
      <c r="D292" s="447"/>
      <c r="E292" s="447"/>
      <c r="F292" s="447"/>
      <c r="I292" s="491"/>
    </row>
    <row r="293" spans="1:9" ht="14.4">
      <c r="A293" s="485"/>
      <c r="B293" s="486" t="s">
        <v>306</v>
      </c>
      <c r="D293" s="1302" t="s">
        <v>1126</v>
      </c>
      <c r="E293" s="1302"/>
      <c r="F293" s="1302"/>
      <c r="I293" s="491"/>
    </row>
    <row r="294" spans="1:9" ht="14.4">
      <c r="A294" s="485"/>
      <c r="B294" s="485"/>
      <c r="D294" s="1302"/>
      <c r="E294" s="1302"/>
      <c r="F294" s="1302"/>
      <c r="I294" s="491"/>
    </row>
    <row r="295" spans="1:9" ht="14.4">
      <c r="A295" s="485"/>
      <c r="B295" s="485"/>
      <c r="D295" s="1302"/>
      <c r="E295" s="1302"/>
      <c r="F295" s="1302"/>
      <c r="I295" s="491"/>
    </row>
    <row r="296" spans="1:9">
      <c r="D296" s="447"/>
      <c r="E296" s="447"/>
      <c r="F296" s="447"/>
      <c r="I296" s="491"/>
    </row>
    <row r="297" spans="1:9" ht="14.4">
      <c r="A297" s="485"/>
      <c r="B297" s="486" t="s">
        <v>306</v>
      </c>
      <c r="D297" s="1302" t="s">
        <v>1127</v>
      </c>
      <c r="E297" s="1302"/>
      <c r="F297" s="1302"/>
      <c r="I297" s="491"/>
    </row>
    <row r="298" spans="1:9" ht="14.4">
      <c r="A298" s="485"/>
      <c r="B298" s="485"/>
      <c r="D298" s="1302"/>
      <c r="E298" s="1302"/>
      <c r="F298" s="1302"/>
      <c r="I298" s="491"/>
    </row>
    <row r="299" spans="1:9">
      <c r="A299" s="491"/>
      <c r="B299" s="491"/>
      <c r="E299" s="447"/>
      <c r="F299" s="447"/>
      <c r="I299" s="491"/>
    </row>
    <row r="300" spans="1:9">
      <c r="A300" s="1309" t="s">
        <v>1049</v>
      </c>
      <c r="B300" s="1309"/>
      <c r="C300" s="1309"/>
      <c r="D300" s="1309"/>
      <c r="E300" s="1309"/>
      <c r="F300" s="1309"/>
      <c r="G300" s="1309"/>
      <c r="H300" s="1029"/>
      <c r="I300" s="1155"/>
    </row>
    <row r="301" spans="1:9">
      <c r="A301" s="491"/>
      <c r="B301" s="491"/>
      <c r="D301" s="447"/>
      <c r="E301" s="447"/>
      <c r="F301" s="447"/>
      <c r="I301" s="491"/>
    </row>
    <row r="302" spans="1:9">
      <c r="C302" s="491"/>
      <c r="D302" s="1310" t="s">
        <v>682</v>
      </c>
      <c r="E302" s="1310"/>
      <c r="F302" s="1310"/>
      <c r="I302" s="491"/>
    </row>
    <row r="303" spans="1:9">
      <c r="C303" s="491"/>
      <c r="D303" s="1300" t="s">
        <v>1128</v>
      </c>
      <c r="E303" s="1300"/>
      <c r="F303" s="1300"/>
      <c r="I303" s="491"/>
    </row>
    <row r="304" spans="1:9">
      <c r="C304" s="491"/>
      <c r="D304" s="494"/>
      <c r="I304" s="491"/>
    </row>
    <row r="305" spans="1:9">
      <c r="B305" s="486" t="s">
        <v>306</v>
      </c>
      <c r="D305" s="1300" t="s">
        <v>1129</v>
      </c>
      <c r="E305" s="1300"/>
      <c r="F305" s="1300"/>
      <c r="I305" s="491"/>
    </row>
    <row r="306" spans="1:9" ht="14.4">
      <c r="A306" s="485"/>
      <c r="B306" s="485"/>
      <c r="D306" s="495"/>
      <c r="E306" s="496"/>
      <c r="F306" s="496"/>
      <c r="I306" s="491"/>
    </row>
    <row r="307" spans="1:9" ht="13.8" customHeight="1">
      <c r="B307" s="486" t="s">
        <v>306</v>
      </c>
      <c r="D307" s="1311" t="s">
        <v>1219</v>
      </c>
      <c r="E307" s="1311"/>
      <c r="F307" s="1311"/>
      <c r="I307" s="491"/>
    </row>
    <row r="308" spans="1:9" ht="14.4">
      <c r="A308" s="485"/>
      <c r="B308" s="485"/>
      <c r="D308" s="1311"/>
      <c r="E308" s="1311"/>
      <c r="F308" s="1311"/>
      <c r="I308" s="491"/>
    </row>
    <row r="309" spans="1:9" ht="14.4">
      <c r="A309" s="485"/>
      <c r="B309" s="485"/>
      <c r="D309" s="1311"/>
      <c r="E309" s="1311"/>
      <c r="F309" s="1311"/>
      <c r="I309" s="491"/>
    </row>
    <row r="310" spans="1:9" ht="14.4">
      <c r="A310" s="485"/>
      <c r="B310" s="485"/>
      <c r="D310" s="1311"/>
      <c r="E310" s="1311"/>
      <c r="F310" s="1311"/>
      <c r="I310" s="491"/>
    </row>
    <row r="311" spans="1:9" ht="14.4">
      <c r="A311" s="485"/>
      <c r="B311" s="485"/>
      <c r="D311" s="1311"/>
      <c r="E311" s="1311"/>
      <c r="F311" s="1311"/>
      <c r="I311" s="491"/>
    </row>
    <row r="312" spans="1:9" ht="14.4">
      <c r="A312" s="485"/>
      <c r="B312" s="485"/>
      <c r="D312" s="495"/>
      <c r="E312" s="496"/>
      <c r="F312" s="496"/>
      <c r="I312" s="491"/>
    </row>
    <row r="313" spans="1:9" ht="13.8" customHeight="1">
      <c r="B313" s="486" t="s">
        <v>306</v>
      </c>
      <c r="D313" s="1311" t="s">
        <v>1130</v>
      </c>
      <c r="E313" s="1311"/>
      <c r="F313" s="1311"/>
      <c r="I313" s="491"/>
    </row>
    <row r="314" spans="1:9">
      <c r="D314" s="1311"/>
      <c r="E314" s="1311"/>
      <c r="F314" s="1311"/>
      <c r="I314" s="491"/>
    </row>
    <row r="315" spans="1:9" ht="14.4">
      <c r="A315" s="485"/>
      <c r="B315" s="485"/>
      <c r="D315" s="495"/>
      <c r="E315" s="496"/>
      <c r="F315" s="496"/>
      <c r="I315" s="491"/>
    </row>
    <row r="316" spans="1:9">
      <c r="B316" s="486" t="s">
        <v>306</v>
      </c>
      <c r="D316" s="1300" t="s">
        <v>1131</v>
      </c>
      <c r="E316" s="1300"/>
      <c r="F316" s="1300"/>
      <c r="I316" s="491"/>
    </row>
    <row r="317" spans="1:9">
      <c r="E317" s="447"/>
      <c r="F317" s="447"/>
      <c r="I317" s="491"/>
    </row>
    <row r="318" spans="1:9" ht="14.4">
      <c r="A318" s="485"/>
      <c r="B318" s="486" t="s">
        <v>306</v>
      </c>
      <c r="D318" s="1302" t="s">
        <v>2248</v>
      </c>
      <c r="E318" s="1302"/>
      <c r="F318" s="1302"/>
      <c r="I318" s="491"/>
    </row>
    <row r="319" spans="1:9" ht="14.4">
      <c r="A319" s="485"/>
      <c r="B319" s="485"/>
      <c r="D319" s="1302"/>
      <c r="E319" s="1302"/>
      <c r="F319" s="1302"/>
      <c r="I319" s="491"/>
    </row>
    <row r="320" spans="1:9" ht="14.4">
      <c r="A320" s="485"/>
      <c r="B320" s="485"/>
      <c r="D320" s="1302"/>
      <c r="E320" s="1302"/>
      <c r="F320" s="1302"/>
      <c r="I320" s="491"/>
    </row>
    <row r="321" spans="1:9" ht="14.4">
      <c r="A321" s="485"/>
      <c r="B321" s="485"/>
      <c r="D321" s="1302"/>
      <c r="E321" s="1302"/>
      <c r="F321" s="1302"/>
      <c r="I321" s="491"/>
    </row>
    <row r="322" spans="1:9" ht="14.4">
      <c r="A322" s="485"/>
      <c r="B322" s="485"/>
      <c r="D322" s="1302"/>
      <c r="E322" s="1302"/>
      <c r="F322" s="1302"/>
      <c r="I322" s="491"/>
    </row>
    <row r="323" spans="1:9" ht="14.4">
      <c r="A323" s="485"/>
      <c r="B323" s="485"/>
      <c r="D323" s="1302"/>
      <c r="E323" s="1302"/>
      <c r="F323" s="1302"/>
      <c r="I323" s="491"/>
    </row>
    <row r="324" spans="1:9" ht="14.4">
      <c r="A324" s="485"/>
      <c r="B324" s="485"/>
      <c r="D324" s="1302"/>
      <c r="E324" s="1302"/>
      <c r="F324" s="1302"/>
      <c r="I324" s="491"/>
    </row>
    <row r="325" spans="1:9" ht="14.4">
      <c r="A325" s="485"/>
      <c r="B325" s="485"/>
      <c r="D325" s="1302"/>
      <c r="E325" s="1302"/>
      <c r="F325" s="1302"/>
      <c r="I325" s="491"/>
    </row>
    <row r="326" spans="1:9" ht="14.4">
      <c r="A326" s="485"/>
      <c r="B326" s="485"/>
      <c r="D326" s="1302"/>
      <c r="E326" s="1302"/>
      <c r="F326" s="1302"/>
      <c r="I326" s="491"/>
    </row>
    <row r="327" spans="1:9" ht="14.4">
      <c r="A327" s="485"/>
      <c r="B327" s="485"/>
      <c r="D327" s="1302"/>
      <c r="E327" s="1302"/>
      <c r="F327" s="1302"/>
      <c r="I327" s="491"/>
    </row>
    <row r="328" spans="1:9" ht="14.4">
      <c r="A328" s="485"/>
      <c r="B328" s="485"/>
      <c r="D328" s="1302"/>
      <c r="E328" s="1302"/>
      <c r="F328" s="1302"/>
      <c r="I328" s="491"/>
    </row>
    <row r="329" spans="1:9" ht="14.4">
      <c r="A329" s="485"/>
      <c r="B329" s="485"/>
      <c r="D329" s="1302"/>
      <c r="E329" s="1302"/>
      <c r="F329" s="1302"/>
      <c r="I329" s="491"/>
    </row>
    <row r="330" spans="1:9" ht="14.4">
      <c r="A330" s="485"/>
      <c r="B330" s="485"/>
      <c r="D330" s="1302"/>
      <c r="E330" s="1302"/>
      <c r="F330" s="1302"/>
      <c r="I330" s="491"/>
    </row>
    <row r="331" spans="1:9" ht="14.4">
      <c r="A331" s="485"/>
      <c r="B331" s="485"/>
      <c r="D331" s="1302"/>
      <c r="E331" s="1302"/>
      <c r="F331" s="1302"/>
      <c r="I331" s="491"/>
    </row>
    <row r="332" spans="1:9" ht="14.4">
      <c r="A332" s="485"/>
      <c r="B332" s="485"/>
      <c r="D332" s="1302"/>
      <c r="E332" s="1302"/>
      <c r="F332" s="1302"/>
      <c r="I332" s="491"/>
    </row>
    <row r="333" spans="1:9">
      <c r="D333" s="447"/>
      <c r="E333" s="447"/>
      <c r="F333" s="447"/>
      <c r="I333" s="491"/>
    </row>
    <row r="334" spans="1:9" ht="14.4">
      <c r="A334" s="485"/>
      <c r="B334" s="486" t="s">
        <v>306</v>
      </c>
      <c r="D334" s="1302" t="s">
        <v>1132</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306</v>
      </c>
      <c r="D344" s="1302" t="s">
        <v>1903</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330" t="s">
        <v>979</v>
      </c>
      <c r="E351" s="1330"/>
      <c r="F351" s="1330"/>
      <c r="G351" s="1028"/>
      <c r="H351" s="1028"/>
      <c r="I351" s="1158"/>
    </row>
    <row r="352" spans="1:9" ht="13.8" thickTop="1">
      <c r="D352" s="1329" t="s">
        <v>2249</v>
      </c>
      <c r="E352" s="1329"/>
      <c r="F352" s="1329"/>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300" t="s">
        <v>1901</v>
      </c>
      <c r="E355" s="1300"/>
      <c r="F355" s="1300"/>
      <c r="I355" s="491"/>
    </row>
    <row r="356" spans="1:9" ht="12.75" customHeight="1">
      <c r="D356" s="1038"/>
      <c r="E356" s="96" t="s">
        <v>1900</v>
      </c>
      <c r="F356" s="1038"/>
      <c r="I356" s="491"/>
    </row>
    <row r="357" spans="1:9">
      <c r="D357" s="1302" t="s">
        <v>1239</v>
      </c>
      <c r="E357" s="1302"/>
      <c r="F357" s="1302"/>
      <c r="I357" s="491"/>
    </row>
    <row r="358" spans="1:9">
      <c r="D358" s="1302"/>
      <c r="E358" s="1302"/>
      <c r="F358" s="1302"/>
      <c r="I358" s="491"/>
    </row>
    <row r="359" spans="1:9">
      <c r="D359" s="1302"/>
      <c r="E359" s="1302"/>
      <c r="F359" s="1302"/>
      <c r="I359" s="491"/>
    </row>
    <row r="360" spans="1:9" ht="14.4">
      <c r="A360" s="485"/>
      <c r="B360" s="486" t="s">
        <v>306</v>
      </c>
      <c r="C360" s="477"/>
      <c r="D360" s="1319" t="s">
        <v>2058</v>
      </c>
      <c r="E360" s="1319"/>
      <c r="F360" s="1319"/>
      <c r="I360" s="481"/>
    </row>
    <row r="361" spans="1:9">
      <c r="A361" s="477"/>
      <c r="B361" s="477"/>
      <c r="C361" s="477"/>
      <c r="D361" s="448"/>
      <c r="E361" s="448"/>
      <c r="F361" s="447"/>
      <c r="I361" s="491"/>
    </row>
    <row r="362" spans="1:9">
      <c r="A362" s="477"/>
      <c r="B362" s="486" t="s">
        <v>306</v>
      </c>
      <c r="C362" s="477"/>
      <c r="D362" s="1273" t="s">
        <v>2059</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73" t="s">
        <v>1133</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1134</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8" customHeight="1">
      <c r="A401" s="477"/>
      <c r="B401" s="477"/>
      <c r="C401" s="477"/>
      <c r="D401" s="1273" t="s">
        <v>1135</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306</v>
      </c>
      <c r="C420" s="477"/>
      <c r="D420" s="1273" t="s">
        <v>1136</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5" customHeight="1">
      <c r="A423" s="485"/>
      <c r="B423" s="486" t="s">
        <v>306</v>
      </c>
      <c r="D423" s="1273" t="s">
        <v>1882</v>
      </c>
      <c r="E423" s="1273"/>
      <c r="F423" s="1273"/>
      <c r="I423" s="491"/>
    </row>
    <row r="424" spans="1:9" ht="14.55" customHeight="1">
      <c r="A424" s="485"/>
      <c r="D424" s="1273"/>
      <c r="E424" s="1273"/>
      <c r="F424" s="1273"/>
      <c r="I424" s="491"/>
    </row>
    <row r="425" spans="1:9" ht="14.55" customHeight="1">
      <c r="A425" s="485"/>
      <c r="D425" s="1273"/>
      <c r="E425" s="1273"/>
      <c r="F425" s="1273"/>
      <c r="I425" s="491"/>
    </row>
    <row r="426" spans="1:9" ht="14.55" customHeight="1">
      <c r="A426" s="485"/>
      <c r="D426" s="1273"/>
      <c r="E426" s="1273"/>
      <c r="F426" s="1273"/>
      <c r="I426" s="491"/>
    </row>
    <row r="427" spans="1:9" ht="14.55" customHeight="1">
      <c r="A427" s="485"/>
      <c r="D427" s="1273"/>
      <c r="E427" s="1273"/>
      <c r="F427" s="1273"/>
      <c r="I427" s="491"/>
    </row>
    <row r="428" spans="1:9" ht="14.55" customHeight="1">
      <c r="A428" s="485"/>
      <c r="D428" s="386"/>
      <c r="E428" s="386"/>
      <c r="F428" s="386"/>
      <c r="I428" s="491"/>
    </row>
    <row r="429" spans="1:9" ht="13.8" customHeight="1">
      <c r="A429" s="485"/>
      <c r="B429" s="486" t="s">
        <v>306</v>
      </c>
      <c r="C429" s="477"/>
      <c r="D429" s="1273" t="s">
        <v>1240</v>
      </c>
      <c r="E429" s="1273"/>
      <c r="F429" s="1273"/>
      <c r="I429" s="491"/>
    </row>
    <row r="430" spans="1:9" ht="14.4">
      <c r="A430" s="498"/>
      <c r="B430" s="498"/>
      <c r="C430" s="477"/>
      <c r="D430" s="1273"/>
      <c r="E430" s="1273"/>
      <c r="F430" s="1273"/>
      <c r="I430" s="491"/>
    </row>
    <row r="431" spans="1:9" ht="14.4">
      <c r="A431" s="498"/>
      <c r="B431" s="498"/>
      <c r="C431" s="477"/>
      <c r="D431" s="1273"/>
      <c r="E431" s="1273"/>
      <c r="F431" s="1273"/>
      <c r="I431" s="491"/>
    </row>
    <row r="432" spans="1:9" ht="14.4">
      <c r="A432" s="498"/>
      <c r="B432" s="498"/>
      <c r="C432" s="477"/>
      <c r="D432" s="1273"/>
      <c r="E432" s="1273"/>
      <c r="F432" s="1273"/>
      <c r="I432" s="491"/>
    </row>
    <row r="433" spans="1:9" ht="15.75" customHeight="1">
      <c r="A433" s="498"/>
      <c r="B433" s="498"/>
      <c r="C433" s="477"/>
      <c r="D433" s="1331" t="s">
        <v>2075</v>
      </c>
      <c r="E433" s="1273"/>
      <c r="F433" s="1273"/>
      <c r="I433" s="491"/>
    </row>
    <row r="434" spans="1:9">
      <c r="D434" s="447"/>
      <c r="E434" s="447"/>
      <c r="F434" s="447"/>
      <c r="I434" s="491"/>
    </row>
    <row r="435" spans="1:9" ht="14.4">
      <c r="A435" s="485"/>
      <c r="B435" s="486" t="s">
        <v>306</v>
      </c>
      <c r="C435" s="488"/>
      <c r="D435" s="1302" t="s">
        <v>2060</v>
      </c>
      <c r="E435" s="1302"/>
      <c r="F435" s="1302"/>
      <c r="I435" s="491"/>
    </row>
    <row r="436" spans="1:9" ht="14.4">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99999999999997" customHeight="1">
      <c r="D465" s="1302"/>
      <c r="E465" s="1302"/>
      <c r="F465" s="1302"/>
      <c r="I465" s="491"/>
    </row>
    <row r="466" spans="1:9">
      <c r="D466" s="447"/>
      <c r="E466" s="447"/>
      <c r="F466" s="447"/>
      <c r="I466" s="491"/>
    </row>
    <row r="467" spans="1:9" ht="14.4">
      <c r="A467" s="485"/>
      <c r="B467" s="486" t="s">
        <v>306</v>
      </c>
      <c r="C467" s="488"/>
      <c r="D467" s="1302" t="s">
        <v>1137</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ht="14.4">
      <c r="B471" s="486" t="s">
        <v>306</v>
      </c>
      <c r="C471" s="485"/>
      <c r="D471" s="1302" t="s">
        <v>1197</v>
      </c>
      <c r="E471" s="1302"/>
      <c r="F471" s="1302"/>
      <c r="I471" s="491"/>
    </row>
    <row r="472" spans="1:9">
      <c r="D472" s="1302"/>
      <c r="E472" s="1302"/>
      <c r="F472" s="1302"/>
      <c r="I472" s="491"/>
    </row>
    <row r="473" spans="1:9">
      <c r="D473" s="447"/>
      <c r="E473" s="447"/>
      <c r="F473" s="447"/>
      <c r="I473" s="491"/>
    </row>
    <row r="474" spans="1:9" ht="14.4">
      <c r="B474" s="486" t="s">
        <v>306</v>
      </c>
      <c r="C474" s="485"/>
      <c r="D474" s="1302" t="s">
        <v>1138</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306</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306</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306</v>
      </c>
      <c r="C486" s="403"/>
      <c r="D486" s="1302"/>
      <c r="E486" s="1302"/>
      <c r="F486" s="1302"/>
      <c r="I486" s="491"/>
    </row>
    <row r="487" spans="1:9">
      <c r="A487" s="403"/>
      <c r="C487" s="403"/>
      <c r="D487" s="1302"/>
      <c r="E487" s="1302"/>
      <c r="F487" s="1302"/>
      <c r="I487" s="491"/>
    </row>
    <row r="488" spans="1:9">
      <c r="A488" s="403"/>
      <c r="B488" s="486" t="s">
        <v>306</v>
      </c>
      <c r="C488" s="403"/>
      <c r="D488" s="1302" t="s">
        <v>1139</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306</v>
      </c>
      <c r="D494" s="1300" t="s">
        <v>1140</v>
      </c>
      <c r="E494" s="1300"/>
      <c r="F494" s="1300"/>
      <c r="I494" s="491"/>
    </row>
    <row r="495" spans="1:9">
      <c r="A495" s="447"/>
      <c r="B495" s="447"/>
      <c r="I495" s="491"/>
    </row>
    <row r="496" spans="1:9">
      <c r="A496" s="1309" t="s">
        <v>1050</v>
      </c>
      <c r="B496" s="1309"/>
      <c r="C496" s="1309"/>
      <c r="D496" s="1309"/>
      <c r="E496" s="1309"/>
      <c r="F496" s="1309"/>
      <c r="G496" s="1309"/>
      <c r="H496" s="1029"/>
      <c r="I496" s="1155"/>
    </row>
    <row r="497" spans="1:9">
      <c r="A497" s="447"/>
      <c r="B497" s="447"/>
      <c r="I497" s="491"/>
    </row>
    <row r="498" spans="1:9">
      <c r="D498" s="1328" t="s">
        <v>883</v>
      </c>
      <c r="E498" s="1328"/>
      <c r="F498" s="1328"/>
      <c r="I498" s="491"/>
    </row>
    <row r="499" spans="1:9" ht="14.4">
      <c r="A499" s="485"/>
      <c r="B499" s="485"/>
      <c r="D499" s="1319" t="s">
        <v>1141</v>
      </c>
      <c r="E499" s="1319"/>
      <c r="F499" s="1319"/>
      <c r="I499" s="491"/>
    </row>
    <row r="500" spans="1:9" ht="14.4">
      <c r="A500" s="485"/>
      <c r="B500" s="485"/>
      <c r="D500" s="448"/>
      <c r="I500" s="491"/>
    </row>
    <row r="501" spans="1:9" ht="14.4">
      <c r="A501" s="485"/>
      <c r="B501" s="486" t="s">
        <v>306</v>
      </c>
      <c r="D501" s="1273" t="s">
        <v>1142</v>
      </c>
      <c r="E501" s="1273"/>
      <c r="F501" s="1273"/>
      <c r="I501" s="491"/>
    </row>
    <row r="502" spans="1:9" ht="14.4">
      <c r="A502" s="485"/>
      <c r="B502" s="485"/>
      <c r="D502" s="1273"/>
      <c r="E502" s="1273"/>
      <c r="F502" s="1273"/>
      <c r="I502" s="491"/>
    </row>
    <row r="503" spans="1:9" ht="14.4">
      <c r="A503" s="485"/>
      <c r="B503" s="485"/>
      <c r="D503" s="447"/>
      <c r="I503" s="491"/>
    </row>
    <row r="504" spans="1:9" ht="12.75" customHeight="1">
      <c r="B504" s="486" t="s">
        <v>306</v>
      </c>
      <c r="D504" s="1314" t="s">
        <v>1273</v>
      </c>
      <c r="E504" s="1314"/>
      <c r="F504" s="1314"/>
      <c r="I504" s="491"/>
    </row>
    <row r="505" spans="1:9" ht="14.4">
      <c r="A505" s="485"/>
      <c r="D505" s="1314"/>
      <c r="E505" s="1314"/>
      <c r="F505" s="1314"/>
      <c r="I505" s="491"/>
    </row>
    <row r="506" spans="1:9" ht="14.4">
      <c r="A506" s="485"/>
      <c r="B506" s="485"/>
      <c r="D506" s="1314"/>
      <c r="E506" s="1314"/>
      <c r="F506" s="1314"/>
      <c r="I506" s="491"/>
    </row>
    <row r="507" spans="1:9" ht="14.4">
      <c r="A507" s="485"/>
      <c r="B507" s="485"/>
      <c r="D507" s="1314"/>
      <c r="E507" s="1314"/>
      <c r="F507" s="1314"/>
      <c r="I507" s="491"/>
    </row>
    <row r="508" spans="1:9" ht="14.4">
      <c r="A508" s="485"/>
      <c r="D508" s="521"/>
      <c r="E508" s="521"/>
      <c r="F508" s="521"/>
      <c r="I508" s="491"/>
    </row>
    <row r="509" spans="1:9" ht="14.4">
      <c r="A509" s="485"/>
      <c r="B509" s="486" t="s">
        <v>306</v>
      </c>
      <c r="D509" s="1300" t="s">
        <v>1143</v>
      </c>
      <c r="E509" s="1300"/>
      <c r="F509" s="1300"/>
      <c r="I509" s="491"/>
    </row>
    <row r="510" spans="1:9" ht="14.4">
      <c r="A510" s="485"/>
      <c r="B510" s="485"/>
      <c r="D510" s="447"/>
      <c r="I510" s="491"/>
    </row>
    <row r="511" spans="1:9" ht="14.4">
      <c r="A511" s="485"/>
      <c r="B511" s="486" t="s">
        <v>306</v>
      </c>
      <c r="D511" s="1302" t="s">
        <v>1144</v>
      </c>
      <c r="E511" s="1302"/>
      <c r="F511" s="1302"/>
      <c r="I511" s="491"/>
    </row>
    <row r="512" spans="1:9" ht="14.4">
      <c r="A512" s="485"/>
      <c r="D512" s="1302"/>
      <c r="E512" s="1302"/>
      <c r="F512" s="1302"/>
      <c r="I512" s="491"/>
    </row>
    <row r="513" spans="1:9">
      <c r="A513" s="491"/>
      <c r="B513" s="491"/>
      <c r="D513" s="448"/>
      <c r="I513" s="491"/>
    </row>
    <row r="514" spans="1:9">
      <c r="A514" s="491"/>
      <c r="B514" s="486" t="s">
        <v>306</v>
      </c>
      <c r="D514" s="1300" t="s">
        <v>1145</v>
      </c>
      <c r="E514" s="1300"/>
      <c r="F514" s="1300"/>
      <c r="I514" s="491"/>
    </row>
    <row r="515" spans="1:9">
      <c r="D515" s="447"/>
      <c r="E515" s="447"/>
      <c r="F515" s="447"/>
      <c r="I515" s="491"/>
    </row>
    <row r="516" spans="1:9">
      <c r="B516" s="486" t="s">
        <v>306</v>
      </c>
      <c r="D516" s="1302" t="s">
        <v>2283</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ht="14.4">
      <c r="A520" s="485"/>
      <c r="B520" s="485"/>
      <c r="D520" s="447"/>
      <c r="I520" s="491"/>
    </row>
    <row r="521" spans="1:9">
      <c r="A521" s="1309" t="s">
        <v>1051</v>
      </c>
      <c r="B521" s="1309"/>
      <c r="C521" s="1309"/>
      <c r="D521" s="1309"/>
      <c r="E521" s="1309"/>
      <c r="F521" s="1309"/>
      <c r="G521" s="1309"/>
      <c r="H521" s="1029"/>
      <c r="I521" s="1155"/>
    </row>
    <row r="522" spans="1:9" ht="12" customHeight="1">
      <c r="A522" s="485"/>
      <c r="B522" s="485"/>
      <c r="D522" s="447"/>
      <c r="I522" s="491"/>
    </row>
    <row r="523" spans="1:9">
      <c r="C523" s="483"/>
      <c r="D523" s="1310" t="s">
        <v>793</v>
      </c>
      <c r="E523" s="1310"/>
      <c r="F523" s="131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73" t="s">
        <v>2061</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302" t="s">
        <v>2063</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1052</v>
      </c>
      <c r="B539" s="1309"/>
      <c r="C539" s="1309"/>
      <c r="D539" s="1309"/>
      <c r="E539" s="1309"/>
      <c r="F539" s="1309"/>
      <c r="G539" s="1309"/>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1" t="s">
        <v>1053</v>
      </c>
      <c r="B543" s="1301"/>
      <c r="C543" s="1301"/>
      <c r="D543" s="1301"/>
      <c r="E543" s="1301"/>
      <c r="F543" s="1301"/>
      <c r="G543" s="1301"/>
      <c r="H543" s="1029"/>
      <c r="I543" s="1155"/>
    </row>
    <row r="544" spans="1:9">
      <c r="A544" s="447"/>
      <c r="B544" s="447"/>
      <c r="C544" s="488"/>
      <c r="D544" s="447"/>
      <c r="F544" s="447"/>
      <c r="I544" s="491"/>
    </row>
    <row r="545" spans="1:9">
      <c r="C545" s="488"/>
      <c r="D545" s="1310" t="s">
        <v>683</v>
      </c>
      <c r="E545" s="1310"/>
      <c r="F545" s="1310"/>
      <c r="I545" s="491"/>
    </row>
    <row r="546" spans="1:9">
      <c r="C546" s="488"/>
      <c r="D546" s="1300" t="s">
        <v>1081</v>
      </c>
      <c r="E546" s="1300"/>
      <c r="F546" s="1300"/>
      <c r="I546" s="491"/>
    </row>
    <row r="547" spans="1:9">
      <c r="C547" s="488"/>
      <c r="D547" s="447"/>
      <c r="E547" s="447"/>
      <c r="F547" s="447"/>
      <c r="I547" s="491"/>
    </row>
    <row r="548" spans="1:9" ht="13.8" customHeight="1">
      <c r="A548" s="485"/>
      <c r="B548" s="486" t="s">
        <v>306</v>
      </c>
      <c r="C548" s="488"/>
      <c r="D548" s="1300" t="s">
        <v>884</v>
      </c>
      <c r="E548" s="1300"/>
      <c r="F548" s="1300"/>
      <c r="I548" s="491"/>
    </row>
    <row r="549" spans="1:9" ht="13.8" customHeight="1">
      <c r="A549" s="488"/>
      <c r="B549" s="488"/>
      <c r="C549" s="488"/>
      <c r="D549" s="447"/>
      <c r="I549" s="491"/>
    </row>
    <row r="550" spans="1:9" ht="14.4">
      <c r="A550" s="485"/>
      <c r="B550" s="486" t="s">
        <v>306</v>
      </c>
      <c r="C550" s="488"/>
      <c r="D550" s="1302" t="s">
        <v>1082</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ht="14.4">
      <c r="A553" s="485"/>
      <c r="B553" s="486" t="s">
        <v>306</v>
      </c>
      <c r="C553" s="488"/>
      <c r="D553" s="1302" t="s">
        <v>1083</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ht="14.4">
      <c r="A556" s="485"/>
      <c r="B556" s="486" t="s">
        <v>306</v>
      </c>
      <c r="C556" s="488"/>
      <c r="D556" s="1302" t="s">
        <v>1084</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ht="14.4">
      <c r="A559" s="485"/>
      <c r="B559" s="486" t="s">
        <v>306</v>
      </c>
      <c r="C559" s="488"/>
      <c r="D559" s="1302" t="s">
        <v>1085</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ht="14.4">
      <c r="A563" s="485"/>
      <c r="B563" s="486" t="s">
        <v>306</v>
      </c>
      <c r="C563" s="488"/>
      <c r="D563" s="1302" t="s">
        <v>2250</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ht="14.4">
      <c r="A566" s="485"/>
      <c r="B566" s="486" t="s">
        <v>306</v>
      </c>
      <c r="C566" s="488"/>
      <c r="D566" s="1302" t="s">
        <v>1086</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ht="14.4">
      <c r="A569" s="485"/>
      <c r="B569" s="486" t="s">
        <v>306</v>
      </c>
      <c r="C569" s="488"/>
      <c r="D569" s="1300" t="s">
        <v>1087</v>
      </c>
      <c r="E569" s="1300"/>
      <c r="F569" s="1300"/>
      <c r="I569" s="491"/>
    </row>
    <row r="570" spans="1:9">
      <c r="A570" s="491"/>
      <c r="B570" s="491"/>
      <c r="C570" s="488"/>
      <c r="D570" s="1300" t="s">
        <v>1907</v>
      </c>
      <c r="E570" s="1300"/>
      <c r="F570" s="1300"/>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300" t="s">
        <v>1088</v>
      </c>
      <c r="E573" s="1300"/>
      <c r="F573" s="1300"/>
      <c r="I573" s="491"/>
    </row>
    <row r="574" spans="1:9">
      <c r="C574" s="488"/>
      <c r="D574" s="1302" t="s">
        <v>1089</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ht="14.4">
      <c r="A578" s="485"/>
      <c r="B578" s="486" t="s">
        <v>306</v>
      </c>
      <c r="C578" s="488"/>
      <c r="D578" s="1302" t="s">
        <v>2064</v>
      </c>
      <c r="E578" s="1302"/>
      <c r="F578" s="1302"/>
      <c r="I578" s="491"/>
    </row>
    <row r="579" spans="1:9" ht="14.4">
      <c r="A579" s="485"/>
      <c r="B579" s="485"/>
      <c r="C579" s="488"/>
      <c r="D579" s="1302"/>
      <c r="E579" s="1302"/>
      <c r="F579" s="1302"/>
      <c r="I579" s="491"/>
    </row>
    <row r="580" spans="1:9" ht="14.4">
      <c r="A580" s="485"/>
      <c r="B580" s="485"/>
      <c r="C580" s="488"/>
      <c r="D580" s="1302"/>
      <c r="E580" s="1302"/>
      <c r="F580" s="1302"/>
      <c r="I580" s="491"/>
    </row>
    <row r="581" spans="1:9" ht="14.4">
      <c r="A581" s="485"/>
      <c r="B581" s="485"/>
      <c r="C581" s="488"/>
      <c r="D581" s="1302"/>
      <c r="E581" s="1302"/>
      <c r="F581" s="1302"/>
      <c r="I581" s="491"/>
    </row>
    <row r="582" spans="1:9" ht="14.4">
      <c r="A582" s="485"/>
      <c r="B582" s="485"/>
      <c r="C582" s="488"/>
      <c r="D582" s="447"/>
      <c r="E582" s="447"/>
      <c r="F582" s="447"/>
      <c r="I582" s="491"/>
    </row>
    <row r="583" spans="1:9">
      <c r="A583" s="1309" t="s">
        <v>1054</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209</v>
      </c>
      <c r="E585" s="1318"/>
      <c r="F585" s="1318"/>
      <c r="I585" s="491"/>
    </row>
    <row r="586" spans="1:9">
      <c r="A586" s="484"/>
      <c r="B586" s="484"/>
      <c r="C586" s="484"/>
      <c r="D586" s="1314" t="s">
        <v>1067</v>
      </c>
      <c r="E586" s="1314"/>
      <c r="F586" s="1314"/>
      <c r="I586" s="491"/>
    </row>
    <row r="587" spans="1:9">
      <c r="A587" s="403"/>
      <c r="B587" s="403"/>
      <c r="C587" s="484"/>
      <c r="D587" s="500"/>
      <c r="I587" s="491"/>
    </row>
    <row r="588" spans="1:9">
      <c r="A588" s="484"/>
      <c r="B588" s="486" t="s">
        <v>306</v>
      </c>
      <c r="D588" s="1314" t="s">
        <v>888</v>
      </c>
      <c r="E588" s="1314"/>
      <c r="F588" s="1314"/>
      <c r="I588" s="491"/>
    </row>
    <row r="589" spans="1:9">
      <c r="A589" s="491"/>
      <c r="B589" s="491"/>
      <c r="D589" s="477"/>
      <c r="I589" s="491"/>
    </row>
    <row r="590" spans="1:9">
      <c r="A590" s="491"/>
      <c r="B590" s="486" t="s">
        <v>306</v>
      </c>
      <c r="D590" s="1314" t="s">
        <v>2065</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306</v>
      </c>
      <c r="D594" s="1314" t="s">
        <v>1068</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306</v>
      </c>
      <c r="D599" s="1314" t="s">
        <v>2066</v>
      </c>
      <c r="E599" s="1314"/>
      <c r="F599" s="1314"/>
      <c r="I599" s="491"/>
    </row>
    <row r="600" spans="1:9">
      <c r="A600" s="491"/>
      <c r="B600" s="491"/>
      <c r="D600" s="1314"/>
      <c r="E600" s="1314"/>
      <c r="F600" s="1314"/>
      <c r="I600" s="491"/>
    </row>
    <row r="601" spans="1:9">
      <c r="A601" s="491"/>
      <c r="B601" s="491"/>
      <c r="D601" s="500"/>
      <c r="I601" s="491"/>
    </row>
    <row r="602" spans="1:9">
      <c r="A602" s="491"/>
      <c r="B602" s="486" t="s">
        <v>306</v>
      </c>
      <c r="D602" s="1314" t="s">
        <v>1069</v>
      </c>
      <c r="E602" s="1314"/>
      <c r="F602" s="1314"/>
      <c r="I602" s="491"/>
    </row>
    <row r="603" spans="1:9">
      <c r="A603" s="491"/>
      <c r="B603" s="491"/>
      <c r="D603" s="1314"/>
      <c r="E603" s="1314"/>
      <c r="F603" s="1314"/>
      <c r="I603" s="491"/>
    </row>
    <row r="604" spans="1:9" ht="14.4">
      <c r="A604" s="485"/>
      <c r="B604" s="485"/>
      <c r="D604" s="500"/>
      <c r="I604" s="491"/>
    </row>
    <row r="605" spans="1:9">
      <c r="A605" s="1309" t="s">
        <v>1055</v>
      </c>
      <c r="B605" s="1309"/>
      <c r="C605" s="1309"/>
      <c r="D605" s="1309"/>
      <c r="E605" s="1309"/>
      <c r="F605" s="1309"/>
      <c r="G605" s="1309"/>
      <c r="H605" s="1029"/>
      <c r="I605" s="1155"/>
    </row>
    <row r="606" spans="1:9">
      <c r="I606" s="491"/>
    </row>
    <row r="607" spans="1:9">
      <c r="D607" s="1310" t="s">
        <v>1107</v>
      </c>
      <c r="E607" s="1310"/>
      <c r="F607" s="1310"/>
      <c r="I607" s="491"/>
    </row>
    <row r="608" spans="1:9">
      <c r="D608" s="1282" t="s">
        <v>1108</v>
      </c>
      <c r="E608" s="1282"/>
      <c r="F608" s="1282"/>
      <c r="I608" s="491"/>
    </row>
    <row r="609" spans="1:9">
      <c r="D609" s="445"/>
      <c r="I609" s="491"/>
    </row>
    <row r="610" spans="1:9" ht="14.25" customHeight="1">
      <c r="A610" s="485"/>
      <c r="B610" s="486" t="s">
        <v>306</v>
      </c>
      <c r="D610" s="1315" t="s">
        <v>1908</v>
      </c>
      <c r="E610" s="1315"/>
      <c r="F610" s="1315"/>
      <c r="I610" s="491"/>
    </row>
    <row r="611" spans="1:9">
      <c r="D611" s="1315"/>
      <c r="E611" s="1315"/>
      <c r="F611" s="1315"/>
      <c r="I611" s="491"/>
    </row>
    <row r="612" spans="1:9">
      <c r="D612" s="386"/>
      <c r="E612" s="1037" t="s">
        <v>1909</v>
      </c>
      <c r="F612" s="386"/>
      <c r="I612" s="491"/>
    </row>
    <row r="613" spans="1:9">
      <c r="I613" s="491"/>
    </row>
    <row r="614" spans="1:9">
      <c r="A614" s="1309" t="s">
        <v>1056</v>
      </c>
      <c r="B614" s="1309"/>
      <c r="C614" s="1309"/>
      <c r="D614" s="1309"/>
      <c r="E614" s="1309"/>
      <c r="F614" s="1309"/>
      <c r="G614" s="1309"/>
      <c r="H614" s="1029"/>
      <c r="I614" s="1155"/>
    </row>
    <row r="615" spans="1:9">
      <c r="A615" s="447"/>
      <c r="B615" s="447"/>
      <c r="I615" s="491"/>
    </row>
    <row r="616" spans="1:9">
      <c r="A616" s="483"/>
      <c r="B616" s="483"/>
      <c r="C616" s="483"/>
      <c r="D616" s="1299" t="s">
        <v>1109</v>
      </c>
      <c r="E616" s="1299"/>
      <c r="F616" s="1299"/>
      <c r="I616" s="491"/>
    </row>
    <row r="617" spans="1:9">
      <c r="A617" s="483"/>
      <c r="B617" s="483"/>
      <c r="C617" s="483"/>
      <c r="D617" s="1299"/>
      <c r="E617" s="1299"/>
      <c r="F617" s="1299"/>
      <c r="I617" s="491"/>
    </row>
    <row r="618" spans="1:9">
      <c r="C618" s="484"/>
      <c r="D618" s="1282" t="s">
        <v>1110</v>
      </c>
      <c r="E618" s="1282"/>
      <c r="F618" s="1282"/>
      <c r="I618" s="491"/>
    </row>
    <row r="619" spans="1:9">
      <c r="C619" s="484"/>
      <c r="D619" s="445"/>
      <c r="E619" s="445"/>
      <c r="F619" s="445"/>
      <c r="I619" s="491"/>
    </row>
    <row r="620" spans="1:9" ht="12.75" customHeight="1">
      <c r="A620" s="491"/>
      <c r="B620" s="486" t="s">
        <v>306</v>
      </c>
      <c r="D620" s="1308" t="s">
        <v>1111</v>
      </c>
      <c r="E620" s="1308"/>
      <c r="F620" s="1308"/>
      <c r="I620" s="491"/>
    </row>
    <row r="621" spans="1:9">
      <c r="D621" s="1308"/>
      <c r="E621" s="1308"/>
      <c r="F621" s="1308"/>
      <c r="I621" s="491"/>
    </row>
    <row r="622" spans="1:9">
      <c r="I622" s="491"/>
    </row>
    <row r="623" spans="1:9">
      <c r="B623" s="486" t="s">
        <v>306</v>
      </c>
      <c r="D623" s="1308" t="s">
        <v>1112</v>
      </c>
      <c r="E623" s="1308"/>
      <c r="F623" s="1308"/>
      <c r="I623" s="491"/>
    </row>
    <row r="624" spans="1:9">
      <c r="C624" s="501"/>
      <c r="D624" s="1308"/>
      <c r="E624" s="1308"/>
      <c r="F624" s="1308"/>
      <c r="I624" s="491"/>
    </row>
    <row r="625" spans="1:9">
      <c r="C625" s="501"/>
      <c r="I625" s="491"/>
    </row>
    <row r="626" spans="1:9">
      <c r="B626" s="486" t="s">
        <v>306</v>
      </c>
      <c r="C626" s="501"/>
      <c r="D626" s="1308" t="s">
        <v>1113</v>
      </c>
      <c r="E626" s="1308"/>
      <c r="F626" s="1308"/>
      <c r="I626" s="491"/>
    </row>
    <row r="627" spans="1:9">
      <c r="C627" s="501"/>
      <c r="D627" s="1308"/>
      <c r="E627" s="1308"/>
      <c r="F627" s="1308"/>
      <c r="I627" s="501"/>
    </row>
    <row r="628" spans="1:9">
      <c r="C628" s="501"/>
      <c r="I628" s="491"/>
    </row>
    <row r="629" spans="1:9">
      <c r="A629" s="1309" t="s">
        <v>1057</v>
      </c>
      <c r="B629" s="1309"/>
      <c r="C629" s="1309"/>
      <c r="D629" s="1309"/>
      <c r="E629" s="1309"/>
      <c r="F629" s="1309"/>
      <c r="G629" s="1309"/>
      <c r="H629" s="1029"/>
      <c r="I629" s="1155"/>
    </row>
    <row r="630" spans="1:9">
      <c r="A630" s="483"/>
      <c r="B630" s="483"/>
      <c r="C630" s="483"/>
      <c r="I630" s="491"/>
    </row>
    <row r="631" spans="1:9">
      <c r="C631" s="491"/>
      <c r="D631" s="1310" t="s">
        <v>1114</v>
      </c>
      <c r="E631" s="1310"/>
      <c r="F631" s="1310"/>
      <c r="I631" s="491"/>
    </row>
    <row r="632" spans="1:9">
      <c r="A632" s="491"/>
      <c r="B632" s="491"/>
      <c r="D632" s="405"/>
      <c r="I632" s="491"/>
    </row>
    <row r="633" spans="1:9" ht="14.25" customHeight="1">
      <c r="A633" s="485"/>
      <c r="B633" s="486" t="s">
        <v>306</v>
      </c>
      <c r="D633" s="1315" t="s">
        <v>2067</v>
      </c>
      <c r="E633" s="1315"/>
      <c r="F633" s="1315"/>
      <c r="I633" s="491"/>
    </row>
    <row r="634" spans="1:9">
      <c r="D634" s="1315"/>
      <c r="E634" s="1315"/>
      <c r="F634" s="1315"/>
      <c r="I634" s="491"/>
    </row>
    <row r="635" spans="1:9">
      <c r="D635" s="386"/>
      <c r="E635" s="1037" t="s">
        <v>1911</v>
      </c>
      <c r="F635" s="386"/>
      <c r="I635" s="491"/>
    </row>
    <row r="636" spans="1:9">
      <c r="D636" s="1302" t="s">
        <v>1910</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ht="14.4">
      <c r="A640" s="485"/>
      <c r="B640" s="486" t="s">
        <v>306</v>
      </c>
      <c r="D640" s="1302" t="s">
        <v>1115</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ht="14.4">
      <c r="A643" s="485"/>
      <c r="B643" s="486" t="s">
        <v>306</v>
      </c>
      <c r="C643" s="488"/>
      <c r="D643" s="1302" t="s">
        <v>1225</v>
      </c>
      <c r="E643" s="1302"/>
      <c r="F643" s="1302"/>
      <c r="I643" s="491"/>
    </row>
    <row r="644" spans="1:9" ht="14.4">
      <c r="A644" s="485"/>
      <c r="B644" s="485"/>
      <c r="C644" s="488"/>
      <c r="D644" s="1302"/>
      <c r="E644" s="1302"/>
      <c r="F644" s="1302"/>
      <c r="I644" s="491"/>
    </row>
    <row r="645" spans="1:9" ht="14.4">
      <c r="A645" s="485"/>
      <c r="B645" s="485"/>
      <c r="C645" s="488"/>
      <c r="D645" s="1302"/>
      <c r="E645" s="1302"/>
      <c r="F645" s="1302"/>
      <c r="I645" s="491"/>
    </row>
    <row r="646" spans="1:9">
      <c r="A646" s="488"/>
      <c r="B646" s="486" t="s">
        <v>306</v>
      </c>
      <c r="C646" s="488"/>
      <c r="D646" s="1300" t="s">
        <v>1116</v>
      </c>
      <c r="E646" s="1300"/>
      <c r="F646" s="1300"/>
      <c r="I646" s="491"/>
    </row>
    <row r="647" spans="1:9">
      <c r="A647" s="488"/>
      <c r="B647" s="488"/>
      <c r="C647" s="488"/>
      <c r="D647" s="447"/>
      <c r="E647" s="447"/>
      <c r="F647" s="447"/>
      <c r="I647" s="491"/>
    </row>
    <row r="648" spans="1:9">
      <c r="A648" s="1309" t="s">
        <v>1058</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1146</v>
      </c>
      <c r="E650" s="1310"/>
      <c r="F650" s="1310"/>
      <c r="I650" s="491"/>
    </row>
    <row r="651" spans="1:9">
      <c r="A651" s="484"/>
      <c r="B651" s="484"/>
      <c r="C651" s="484"/>
      <c r="D651" s="1300" t="s">
        <v>1147</v>
      </c>
      <c r="E651" s="1300"/>
      <c r="F651" s="1300"/>
      <c r="I651" s="491"/>
    </row>
    <row r="652" spans="1:9">
      <c r="A652" s="484"/>
      <c r="B652" s="484"/>
      <c r="C652" s="484"/>
      <c r="D652" s="447"/>
      <c r="E652" s="447"/>
      <c r="F652" s="447"/>
      <c r="I652" s="491"/>
    </row>
    <row r="653" spans="1:9" ht="12.75" customHeight="1">
      <c r="B653" s="486" t="s">
        <v>306</v>
      </c>
      <c r="C653" s="488"/>
      <c r="D653" s="1302" t="s">
        <v>1281</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5" customHeight="1">
      <c r="A657" s="485"/>
      <c r="B657" s="485"/>
      <c r="C657" s="488"/>
      <c r="D657" s="386"/>
      <c r="E657" s="386"/>
      <c r="F657" s="386"/>
      <c r="I657" s="491"/>
    </row>
    <row r="658" spans="1:9" ht="12.75" customHeight="1">
      <c r="A658" s="484"/>
      <c r="B658" s="486" t="s">
        <v>306</v>
      </c>
      <c r="C658" s="488"/>
      <c r="D658" s="1302" t="s">
        <v>1283</v>
      </c>
      <c r="E658" s="1302"/>
      <c r="F658" s="1302"/>
      <c r="I658" s="491"/>
    </row>
    <row r="659" spans="1:9" ht="14.4">
      <c r="A659" s="484"/>
      <c r="B659" s="485"/>
      <c r="C659" s="488"/>
      <c r="D659" s="1302"/>
      <c r="E659" s="1302"/>
      <c r="F659" s="1302"/>
      <c r="I659" s="491"/>
    </row>
    <row r="660" spans="1:9" ht="14.4">
      <c r="A660" s="484"/>
      <c r="B660" s="485"/>
      <c r="C660" s="488"/>
      <c r="D660" s="1302"/>
      <c r="E660" s="1302"/>
      <c r="F660" s="1302"/>
      <c r="I660" s="491"/>
    </row>
    <row r="661" spans="1:9" ht="14.4">
      <c r="A661" s="484"/>
      <c r="B661" s="485"/>
      <c r="C661" s="488"/>
      <c r="D661" s="1302"/>
      <c r="E661" s="1302"/>
      <c r="F661" s="1302"/>
      <c r="I661" s="491"/>
    </row>
    <row r="662" spans="1:9" ht="14.4">
      <c r="A662" s="484"/>
      <c r="B662" s="485"/>
      <c r="C662" s="488"/>
      <c r="D662" s="1302"/>
      <c r="E662" s="1302"/>
      <c r="F662" s="1302"/>
      <c r="I662" s="491"/>
    </row>
    <row r="663" spans="1:9" ht="14.25" customHeight="1">
      <c r="A663" s="484"/>
      <c r="B663" s="485"/>
      <c r="C663" s="488"/>
      <c r="F663" s="387"/>
      <c r="I663" s="491"/>
    </row>
    <row r="664" spans="1:9" ht="12.75" customHeight="1">
      <c r="A664" s="484"/>
      <c r="B664" s="486" t="s">
        <v>306</v>
      </c>
      <c r="C664" s="488"/>
      <c r="D664" s="1302" t="s">
        <v>1282</v>
      </c>
      <c r="E664" s="1302"/>
      <c r="F664" s="1302"/>
      <c r="I664" s="491"/>
    </row>
    <row r="665" spans="1:9" ht="14.4">
      <c r="A665" s="484"/>
      <c r="B665" s="485"/>
      <c r="C665" s="488"/>
      <c r="D665" s="1302"/>
      <c r="E665" s="1302"/>
      <c r="F665" s="1302"/>
      <c r="I665" s="491"/>
    </row>
    <row r="666" spans="1:9" ht="14.4">
      <c r="A666" s="485"/>
      <c r="B666" s="485"/>
      <c r="C666" s="488"/>
      <c r="D666" s="1302"/>
      <c r="E666" s="1302"/>
      <c r="F666" s="1302"/>
      <c r="I666" s="491"/>
    </row>
    <row r="667" spans="1:9" ht="14.4">
      <c r="A667" s="485"/>
      <c r="B667" s="485"/>
      <c r="C667" s="488"/>
      <c r="D667" s="1302"/>
      <c r="E667" s="1302"/>
      <c r="F667" s="1302"/>
      <c r="I667" s="491"/>
    </row>
    <row r="668" spans="1:9" ht="14.4">
      <c r="A668" s="485"/>
      <c r="B668" s="485"/>
      <c r="C668" s="488"/>
      <c r="D668" s="446"/>
      <c r="E668" s="446"/>
      <c r="F668" s="446"/>
      <c r="I668" s="491"/>
    </row>
    <row r="669" spans="1:9" ht="12.75" customHeight="1">
      <c r="A669" s="484"/>
      <c r="B669" s="486" t="s">
        <v>306</v>
      </c>
      <c r="C669" s="488"/>
      <c r="D669" s="1302" t="s">
        <v>2068</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1059</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1076</v>
      </c>
      <c r="E683" s="1300"/>
      <c r="F683" s="1300"/>
      <c r="H683" s="502"/>
      <c r="I683" s="484"/>
      <c r="J683" s="502"/>
      <c r="K683" s="502"/>
    </row>
    <row r="684" spans="1:11">
      <c r="A684" s="484"/>
      <c r="B684" s="484"/>
      <c r="C684" s="484"/>
      <c r="H684" s="502"/>
      <c r="I684" s="484"/>
      <c r="J684" s="502"/>
      <c r="K684" s="502"/>
    </row>
    <row r="685" spans="1:11" ht="14.4">
      <c r="A685" s="485"/>
      <c r="B685" s="486" t="s">
        <v>306</v>
      </c>
      <c r="C685" s="484"/>
      <c r="D685" s="1300" t="s">
        <v>885</v>
      </c>
      <c r="E685" s="1300"/>
      <c r="F685" s="1300"/>
      <c r="H685" s="502"/>
      <c r="I685" s="484"/>
      <c r="J685" s="502"/>
      <c r="K685" s="502"/>
    </row>
    <row r="686" spans="1:11">
      <c r="A686" s="484"/>
      <c r="B686" s="484"/>
      <c r="C686" s="484"/>
      <c r="D686" s="1300" t="s">
        <v>894</v>
      </c>
      <c r="E686" s="1300"/>
      <c r="F686" s="1300"/>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302" t="s">
        <v>2069</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ht="14.4">
      <c r="A694" s="485"/>
      <c r="B694" s="486" t="s">
        <v>306</v>
      </c>
      <c r="C694" s="484"/>
      <c r="D694" s="1300" t="s">
        <v>917</v>
      </c>
      <c r="E694" s="1300"/>
      <c r="F694" s="1300"/>
      <c r="H694" s="502"/>
      <c r="I694" s="484"/>
      <c r="J694" s="502"/>
      <c r="K694" s="502"/>
    </row>
    <row r="695" spans="1:11" ht="14.4">
      <c r="A695" s="485"/>
      <c r="B695" s="485"/>
      <c r="C695" s="484"/>
      <c r="D695" s="1300" t="s">
        <v>894</v>
      </c>
      <c r="E695" s="1300"/>
      <c r="F695" s="1300"/>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300" t="s">
        <v>2472</v>
      </c>
      <c r="E698" s="1300"/>
      <c r="F698" s="1300"/>
      <c r="H698" s="502"/>
      <c r="I698" s="484"/>
      <c r="J698" s="502"/>
      <c r="K698" s="502"/>
    </row>
    <row r="699" spans="1:11" ht="14.4">
      <c r="A699" s="485"/>
      <c r="B699" s="485"/>
      <c r="C699" s="484"/>
      <c r="D699" s="1300" t="s">
        <v>894</v>
      </c>
      <c r="E699" s="1300"/>
      <c r="F699" s="1300"/>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302" t="s">
        <v>2247</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302" t="s">
        <v>1201</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302" t="s">
        <v>1077</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306</v>
      </c>
      <c r="C725" s="484"/>
      <c r="D725" s="1302" t="s">
        <v>2465</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302" t="s">
        <v>2464</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306</v>
      </c>
      <c r="C733" s="484"/>
      <c r="D733" s="1302" t="s">
        <v>2463</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ht="14.4">
      <c r="A738" s="485"/>
      <c r="B738" s="486" t="s">
        <v>306</v>
      </c>
      <c r="C738" s="484"/>
      <c r="D738" s="1302" t="s">
        <v>1078</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ht="14.4">
      <c r="A744" s="485"/>
      <c r="B744" s="486" t="s">
        <v>306</v>
      </c>
      <c r="C744" s="484"/>
      <c r="D744" s="1302" t="s">
        <v>2147</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2076</v>
      </c>
      <c r="E751" s="1303"/>
      <c r="F751" s="1303"/>
      <c r="H751" s="502"/>
      <c r="I751" s="484"/>
      <c r="J751" s="502"/>
      <c r="K751" s="502"/>
    </row>
    <row r="752" spans="1:11">
      <c r="A752" s="484"/>
      <c r="B752" s="484"/>
      <c r="C752" s="484"/>
      <c r="D752" s="342"/>
      <c r="H752" s="502"/>
      <c r="I752" s="484"/>
      <c r="J752" s="502"/>
      <c r="K752" s="502"/>
    </row>
    <row r="753" spans="1:11">
      <c r="A753" s="1301" t="s">
        <v>1060</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8" customHeight="1">
      <c r="C755" s="484"/>
      <c r="D755" s="1318" t="s">
        <v>1070</v>
      </c>
      <c r="E755" s="1318"/>
      <c r="F755" s="1318"/>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ht="14.4">
      <c r="A758" s="485"/>
      <c r="B758" s="486" t="s">
        <v>306</v>
      </c>
      <c r="D758" s="1302" t="s">
        <v>1072</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4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302" t="s">
        <v>1241</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ht="14.4">
      <c r="A770" s="485"/>
      <c r="B770" s="486" t="s">
        <v>306</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ht="14.4">
      <c r="A774" s="485"/>
      <c r="B774" s="486" t="s">
        <v>306</v>
      </c>
      <c r="D774" s="1302" t="s">
        <v>1198</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306</v>
      </c>
      <c r="D777" s="1302" t="s">
        <v>1215</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319" t="s">
        <v>1755</v>
      </c>
      <c r="E784" s="1319"/>
      <c r="F784" s="1319"/>
      <c r="G784" s="3"/>
      <c r="I784" s="491"/>
    </row>
    <row r="785" spans="1:9">
      <c r="A785" s="57"/>
      <c r="B785" s="57"/>
      <c r="C785" s="355"/>
      <c r="D785" s="448"/>
      <c r="E785" s="448"/>
      <c r="F785" s="448"/>
      <c r="G785" s="3"/>
      <c r="I785" s="491"/>
    </row>
    <row r="786" spans="1:9">
      <c r="A786" s="57"/>
      <c r="B786" s="486" t="s">
        <v>306</v>
      </c>
      <c r="C786" s="355"/>
      <c r="D786" s="1295" t="s">
        <v>1756</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306</v>
      </c>
      <c r="C790" s="172"/>
      <c r="D790" s="1295" t="s">
        <v>1757</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ht="14.4">
      <c r="A794" s="175"/>
      <c r="B794" s="486" t="s">
        <v>306</v>
      </c>
      <c r="C794" s="990"/>
      <c r="D794" s="1295" t="s">
        <v>1758</v>
      </c>
      <c r="E794" s="1295"/>
      <c r="F794" s="1295"/>
      <c r="G794" s="989"/>
      <c r="I794" s="484"/>
    </row>
    <row r="795" spans="1:9" ht="14.4">
      <c r="A795" s="175"/>
      <c r="B795" s="175"/>
      <c r="C795" s="990"/>
      <c r="D795" s="1295"/>
      <c r="E795" s="1295"/>
      <c r="F795" s="1295"/>
      <c r="G795" s="989"/>
      <c r="I795" s="491"/>
    </row>
    <row r="796" spans="1:9" ht="14.4">
      <c r="A796" s="175"/>
      <c r="B796" s="175"/>
      <c r="C796" s="990"/>
      <c r="D796" s="1295"/>
      <c r="E796" s="1295"/>
      <c r="F796" s="1295"/>
      <c r="G796" s="989"/>
      <c r="I796" s="491"/>
    </row>
    <row r="797" spans="1:9" ht="14.4">
      <c r="A797" s="175"/>
      <c r="B797" s="175"/>
      <c r="C797" s="990"/>
      <c r="D797" s="118"/>
      <c r="E797" s="3"/>
      <c r="F797" s="3"/>
      <c r="G797" s="989"/>
      <c r="I797" s="491"/>
    </row>
    <row r="798" spans="1:9" ht="14.4">
      <c r="A798" s="175"/>
      <c r="B798" s="486" t="s">
        <v>306</v>
      </c>
      <c r="C798" s="990"/>
      <c r="D798" s="1295" t="s">
        <v>1759</v>
      </c>
      <c r="E798" s="1295"/>
      <c r="F798" s="1295"/>
      <c r="G798" s="989"/>
      <c r="I798" s="484"/>
    </row>
    <row r="799" spans="1:9" ht="14.4">
      <c r="A799" s="175"/>
      <c r="B799" s="175"/>
      <c r="C799" s="990"/>
      <c r="D799" s="1295"/>
      <c r="E799" s="1295"/>
      <c r="F799" s="1295"/>
      <c r="G799" s="989"/>
      <c r="I799" s="491"/>
    </row>
    <row r="800" spans="1:9" ht="14.4">
      <c r="A800" s="175"/>
      <c r="B800" s="175"/>
      <c r="C800" s="990"/>
      <c r="D800" s="1295"/>
      <c r="E800" s="1295"/>
      <c r="F800" s="1295"/>
      <c r="G800" s="989"/>
      <c r="I800" s="491"/>
    </row>
    <row r="801" spans="1:9" ht="14.4">
      <c r="A801" s="175"/>
      <c r="B801" s="175"/>
      <c r="C801" s="990"/>
      <c r="D801" s="1295"/>
      <c r="E801" s="1295"/>
      <c r="F801" s="1295"/>
      <c r="G801" s="989"/>
      <c r="I801" s="491"/>
    </row>
    <row r="802" spans="1:9" ht="14.4">
      <c r="A802" s="175"/>
      <c r="B802" s="175"/>
      <c r="C802" s="990"/>
      <c r="D802" s="1295"/>
      <c r="E802" s="1295"/>
      <c r="F802" s="1295"/>
      <c r="G802" s="989"/>
      <c r="I802" s="491"/>
    </row>
    <row r="803" spans="1:9" ht="14.4">
      <c r="A803" s="175"/>
      <c r="B803" s="175"/>
      <c r="C803" s="990"/>
      <c r="D803" s="1295"/>
      <c r="E803" s="1295"/>
      <c r="F803" s="1295"/>
      <c r="G803" s="989"/>
      <c r="I803" s="491"/>
    </row>
    <row r="804" spans="1:9" ht="14.4">
      <c r="A804" s="175"/>
      <c r="B804" s="175"/>
      <c r="C804" s="990"/>
      <c r="D804" s="1295" t="s">
        <v>1802</v>
      </c>
      <c r="E804" s="1295"/>
      <c r="F804" s="1295"/>
      <c r="G804" s="989"/>
      <c r="I804" s="491"/>
    </row>
    <row r="805" spans="1:9" ht="14.4">
      <c r="A805" s="175"/>
      <c r="B805" s="175"/>
      <c r="C805" s="990"/>
      <c r="D805" s="1295"/>
      <c r="E805" s="1295"/>
      <c r="F805" s="1295"/>
      <c r="G805" s="989"/>
      <c r="I805" s="491"/>
    </row>
    <row r="806" spans="1:9" ht="14.4">
      <c r="A806" s="175"/>
      <c r="B806" s="175"/>
      <c r="C806" s="990"/>
      <c r="D806" s="1295"/>
      <c r="E806" s="1295"/>
      <c r="F806" s="1295"/>
      <c r="G806" s="989"/>
      <c r="I806" s="491"/>
    </row>
    <row r="807" spans="1:9" ht="14.4">
      <c r="A807" s="175"/>
      <c r="B807" s="355"/>
      <c r="C807" s="990"/>
      <c r="D807" s="991"/>
      <c r="E807" s="991"/>
      <c r="F807" s="991"/>
      <c r="G807" s="989"/>
      <c r="I807" s="491"/>
    </row>
    <row r="808" spans="1:9" ht="14.4">
      <c r="A808" s="175"/>
      <c r="B808" s="486" t="s">
        <v>306</v>
      </c>
      <c r="C808" s="990"/>
      <c r="D808" s="1295" t="s">
        <v>1760</v>
      </c>
      <c r="E808" s="1295"/>
      <c r="F808" s="1295"/>
      <c r="G808" s="989"/>
      <c r="I808" s="484"/>
    </row>
    <row r="809" spans="1:9" ht="14.4">
      <c r="A809" s="175"/>
      <c r="B809" s="175"/>
      <c r="C809" s="990"/>
      <c r="D809" s="1295"/>
      <c r="E809" s="1295"/>
      <c r="F809" s="1295"/>
      <c r="G809" s="989"/>
      <c r="I809" s="491"/>
    </row>
    <row r="810" spans="1:9" ht="14.4">
      <c r="A810" s="175"/>
      <c r="B810" s="175"/>
      <c r="C810" s="990"/>
      <c r="D810" s="1295"/>
      <c r="E810" s="1295"/>
      <c r="F810" s="1295"/>
      <c r="G810" s="989"/>
      <c r="I810" s="491"/>
    </row>
    <row r="811" spans="1:9" ht="14.4">
      <c r="A811" s="175"/>
      <c r="B811" s="175"/>
      <c r="C811" s="990"/>
      <c r="D811" s="1295"/>
      <c r="E811" s="1295"/>
      <c r="F811" s="1295"/>
      <c r="G811" s="989"/>
      <c r="I811" s="491"/>
    </row>
    <row r="812" spans="1:9" ht="14.4">
      <c r="A812" s="175"/>
      <c r="B812" s="175"/>
      <c r="C812" s="990"/>
      <c r="D812" s="1295"/>
      <c r="E812" s="1295"/>
      <c r="F812" s="1295"/>
      <c r="G812" s="989"/>
      <c r="I812" s="491"/>
    </row>
    <row r="813" spans="1:9" ht="14.4">
      <c r="A813" s="175"/>
      <c r="B813" s="175"/>
      <c r="C813" s="990"/>
      <c r="D813" s="1295"/>
      <c r="E813" s="1295"/>
      <c r="F813" s="1295"/>
      <c r="G813" s="989"/>
      <c r="I813" s="491"/>
    </row>
    <row r="814" spans="1:9" ht="14.4">
      <c r="A814" s="175"/>
      <c r="B814" s="175"/>
      <c r="C814" s="990"/>
      <c r="D814" s="983"/>
      <c r="E814" s="983"/>
      <c r="F814" s="983"/>
      <c r="G814" s="989"/>
      <c r="I814" s="491"/>
    </row>
    <row r="815" spans="1:9" ht="14.4">
      <c r="A815" s="175"/>
      <c r="B815" s="486" t="s">
        <v>306</v>
      </c>
      <c r="C815" s="990"/>
      <c r="D815" s="1295" t="s">
        <v>1761</v>
      </c>
      <c r="E815" s="1295"/>
      <c r="F815" s="1295"/>
      <c r="G815" s="989"/>
      <c r="I815" s="484"/>
    </row>
    <row r="816" spans="1:9" ht="14.4">
      <c r="A816" s="175"/>
      <c r="B816" s="175"/>
      <c r="C816" s="990"/>
      <c r="D816" s="1295"/>
      <c r="E816" s="1295"/>
      <c r="F816" s="1295"/>
      <c r="G816" s="989"/>
      <c r="I816" s="491"/>
    </row>
    <row r="817" spans="1:9" ht="14.4">
      <c r="A817" s="175"/>
      <c r="B817" s="175"/>
      <c r="C817" s="990"/>
      <c r="D817" s="1295"/>
      <c r="E817" s="1295"/>
      <c r="F817" s="1295"/>
      <c r="G817" s="989"/>
      <c r="I817" s="491"/>
    </row>
    <row r="818" spans="1:9" ht="14.4">
      <c r="A818" s="175"/>
      <c r="B818" s="175"/>
      <c r="C818" s="990"/>
      <c r="D818" s="1295"/>
      <c r="E818" s="1295"/>
      <c r="F818" s="1295"/>
      <c r="G818" s="989"/>
      <c r="I818" s="491"/>
    </row>
    <row r="819" spans="1:9" ht="14.4">
      <c r="A819" s="175"/>
      <c r="B819" s="175"/>
      <c r="C819" s="990"/>
      <c r="D819" s="1295"/>
      <c r="E819" s="1295"/>
      <c r="F819" s="1295"/>
      <c r="G819" s="989"/>
      <c r="I819" s="491"/>
    </row>
    <row r="820" spans="1:9" ht="14.4">
      <c r="A820" s="175"/>
      <c r="B820" s="175"/>
      <c r="C820" s="990"/>
      <c r="D820" s="1295"/>
      <c r="E820" s="1295"/>
      <c r="F820" s="1295"/>
      <c r="G820" s="989"/>
      <c r="I820" s="491"/>
    </row>
    <row r="821" spans="1:9" ht="14.4">
      <c r="A821" s="175"/>
      <c r="B821" s="175"/>
      <c r="C821" s="990"/>
      <c r="D821" s="983"/>
      <c r="E821" s="983"/>
      <c r="F821" s="983"/>
      <c r="G821" s="989"/>
      <c r="I821" s="491"/>
    </row>
    <row r="822" spans="1:9" ht="14.4">
      <c r="A822" s="175"/>
      <c r="B822" s="486" t="s">
        <v>306</v>
      </c>
      <c r="C822" s="990"/>
      <c r="D822" s="1290" t="s">
        <v>1762</v>
      </c>
      <c r="E822" s="1290"/>
      <c r="F822" s="1290"/>
      <c r="G822" s="989"/>
      <c r="I822" s="484"/>
    </row>
    <row r="823" spans="1:9" ht="14.4">
      <c r="A823" s="175"/>
      <c r="B823" s="175"/>
      <c r="C823" s="990"/>
      <c r="D823" s="1290"/>
      <c r="E823" s="1290"/>
      <c r="F823" s="1290"/>
      <c r="G823" s="989"/>
      <c r="I823" s="491"/>
    </row>
    <row r="824" spans="1:9">
      <c r="A824" s="13"/>
      <c r="B824" s="13"/>
      <c r="C824" s="990"/>
      <c r="D824" s="1290"/>
      <c r="E824" s="1290"/>
      <c r="F824" s="1290"/>
      <c r="G824" s="989"/>
      <c r="I824" s="491"/>
    </row>
    <row r="825" spans="1:9" ht="14.4">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1763</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1803</v>
      </c>
      <c r="E831" s="1306"/>
      <c r="F831" s="1306"/>
      <c r="G831" s="3"/>
      <c r="I831" s="491"/>
    </row>
    <row r="832" spans="1:9" ht="14.25" customHeight="1">
      <c r="A832" s="175"/>
      <c r="B832" s="175"/>
      <c r="C832" s="355"/>
      <c r="D832" s="1263" t="s">
        <v>1764</v>
      </c>
      <c r="E832" s="1263"/>
      <c r="F832" s="1263"/>
      <c r="G832" s="3"/>
      <c r="I832" s="491"/>
    </row>
    <row r="833" spans="1:9" ht="12.75" customHeight="1">
      <c r="A833" s="175"/>
      <c r="B833" s="175"/>
      <c r="C833" s="355"/>
      <c r="D833" s="442"/>
      <c r="E833" s="442"/>
      <c r="F833" s="442"/>
      <c r="G833" s="3"/>
      <c r="I833" s="491"/>
    </row>
    <row r="834" spans="1:9" ht="12.75" customHeight="1">
      <c r="A834" s="355"/>
      <c r="B834" s="486" t="s">
        <v>306</v>
      </c>
      <c r="C834" s="990"/>
      <c r="D834" s="1263" t="s">
        <v>1765</v>
      </c>
      <c r="E834" s="1263"/>
      <c r="F834" s="1263"/>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7" t="s">
        <v>2077</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306</v>
      </c>
      <c r="C848" s="990"/>
      <c r="D848" s="1263" t="s">
        <v>1766</v>
      </c>
      <c r="E848" s="1263"/>
      <c r="F848" s="1263"/>
      <c r="G848" s="3"/>
      <c r="I848" s="491" t="s">
        <v>1883</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306</v>
      </c>
      <c r="C852" s="990"/>
      <c r="D852" s="1306" t="s">
        <v>1767</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2070</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306</v>
      </c>
      <c r="C861" s="990"/>
      <c r="D861" s="1263" t="s">
        <v>1768</v>
      </c>
      <c r="E861" s="1263"/>
      <c r="F861" s="1263"/>
      <c r="G861" s="3"/>
      <c r="I861" s="491" t="s">
        <v>1881</v>
      </c>
    </row>
    <row r="862" spans="1:9" ht="12.75" customHeight="1">
      <c r="A862" s="175"/>
      <c r="B862" s="175"/>
      <c r="C862" s="990"/>
      <c r="D862" s="1263" t="s">
        <v>1769</v>
      </c>
      <c r="E862" s="1263"/>
      <c r="F862" s="1263"/>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3" t="s">
        <v>1770</v>
      </c>
      <c r="E865" s="1263"/>
      <c r="F865" s="1263"/>
      <c r="G865" s="3"/>
      <c r="I865" s="491" t="s">
        <v>1884</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1804</v>
      </c>
      <c r="E872" s="1296"/>
      <c r="F872" s="1296"/>
      <c r="G872" s="989"/>
      <c r="I872" s="491"/>
    </row>
    <row r="873" spans="1:9" ht="12.75" customHeight="1">
      <c r="A873" s="355"/>
      <c r="B873" s="355"/>
      <c r="C873" s="174"/>
      <c r="D873" s="1305" t="s">
        <v>1772</v>
      </c>
      <c r="E873" s="1305"/>
      <c r="F873" s="1305"/>
      <c r="G873" s="989"/>
      <c r="I873" s="491"/>
    </row>
    <row r="874" spans="1:9" ht="12.75" customHeight="1">
      <c r="A874" s="355"/>
      <c r="B874" s="355"/>
      <c r="C874" s="174"/>
      <c r="D874" s="996"/>
      <c r="E874" s="996"/>
      <c r="F874" s="996"/>
      <c r="G874" s="989"/>
      <c r="I874" s="491"/>
    </row>
    <row r="875" spans="1:9" ht="12.75" customHeight="1">
      <c r="A875" s="175"/>
      <c r="B875" s="486" t="s">
        <v>306</v>
      </c>
      <c r="C875" s="355"/>
      <c r="D875" s="1289" t="s">
        <v>1773</v>
      </c>
      <c r="E875" s="1289"/>
      <c r="F875" s="128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3"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306</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2070</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306</v>
      </c>
      <c r="C890" s="355"/>
      <c r="D890" s="1288" t="s">
        <v>1768</v>
      </c>
      <c r="E890" s="1288"/>
      <c r="F890" s="1288"/>
      <c r="G890" s="989"/>
      <c r="I890" s="491"/>
    </row>
    <row r="891" spans="1:9" ht="12.75" customHeight="1">
      <c r="A891" s="175"/>
      <c r="B891" s="175"/>
      <c r="C891" s="355"/>
      <c r="D891" s="1288" t="s">
        <v>1769</v>
      </c>
      <c r="E891" s="1288"/>
      <c r="F891" s="1288"/>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3" t="s">
        <v>1770</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1805</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1811</v>
      </c>
      <c r="E901" s="1284"/>
      <c r="F901" s="1284"/>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1806</v>
      </c>
      <c r="E905" s="1284"/>
      <c r="F905" s="1284"/>
      <c r="G905" s="989"/>
      <c r="I905" s="491"/>
    </row>
    <row r="906" spans="1:9" ht="12.75" customHeight="1">
      <c r="A906" s="172"/>
      <c r="B906" s="172"/>
      <c r="C906" s="172"/>
      <c r="D906" s="1289" t="s">
        <v>1776</v>
      </c>
      <c r="E906" s="1289"/>
      <c r="F906" s="1289"/>
      <c r="G906" s="989"/>
      <c r="I906" s="491"/>
    </row>
    <row r="907" spans="1:9" ht="12.75" customHeight="1">
      <c r="A907" s="990"/>
      <c r="B907" s="990"/>
      <c r="C907" s="990"/>
      <c r="D907" s="2"/>
      <c r="E907" s="989"/>
      <c r="F907" s="989"/>
      <c r="G907" s="989"/>
      <c r="I907" s="491"/>
    </row>
    <row r="908" spans="1:9" ht="12.75" customHeight="1">
      <c r="A908" s="175"/>
      <c r="B908" s="486" t="s">
        <v>306</v>
      </c>
      <c r="C908" s="355"/>
      <c r="D908" s="1263" t="s">
        <v>1780</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1779</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306</v>
      </c>
      <c r="C913" s="174"/>
      <c r="D913" s="1274" t="s">
        <v>1777</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306</v>
      </c>
      <c r="C922" s="990"/>
      <c r="D922" s="1263" t="s">
        <v>1781</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306</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306</v>
      </c>
      <c r="C930" s="990"/>
      <c r="D930" s="1289" t="s">
        <v>2071</v>
      </c>
      <c r="E930" s="1289"/>
      <c r="F930" s="1289"/>
      <c r="G930" s="989"/>
      <c r="I930" s="491"/>
    </row>
    <row r="931" spans="1:9" ht="12.75" customHeight="1">
      <c r="A931" s="990"/>
      <c r="B931" s="990"/>
      <c r="C931" s="990"/>
      <c r="D931" s="118"/>
      <c r="E931" s="989"/>
      <c r="F931" s="989"/>
      <c r="G931" s="989"/>
      <c r="I931" s="491"/>
    </row>
    <row r="932" spans="1:9" ht="12.75" customHeight="1">
      <c r="A932" s="990"/>
      <c r="B932" s="486" t="s">
        <v>306</v>
      </c>
      <c r="C932" s="990"/>
      <c r="D932" s="1289" t="s">
        <v>2072</v>
      </c>
      <c r="E932" s="1289"/>
      <c r="F932" s="1289"/>
      <c r="G932" s="989"/>
      <c r="I932" s="491"/>
    </row>
    <row r="933" spans="1:9" ht="12.75" customHeight="1">
      <c r="A933" s="174"/>
      <c r="B933" s="174"/>
      <c r="C933" s="174"/>
      <c r="D933" s="2"/>
      <c r="E933" s="3"/>
      <c r="F933" s="989"/>
      <c r="G933" s="989"/>
      <c r="I933" s="491"/>
    </row>
    <row r="934" spans="1:9" ht="12.75" customHeight="1">
      <c r="A934" s="998"/>
      <c r="B934" s="486" t="s">
        <v>306</v>
      </c>
      <c r="C934" s="999"/>
      <c r="D934" s="1274" t="s">
        <v>1778</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306</v>
      </c>
      <c r="C944" s="174"/>
      <c r="D944" s="1298" t="s">
        <v>1887</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306</v>
      </c>
      <c r="C952" s="174"/>
      <c r="D952" s="1273" t="s">
        <v>2139</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306</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74" t="s">
        <v>1886</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1784</v>
      </c>
      <c r="E969" s="1296"/>
      <c r="F969" s="1296"/>
      <c r="G969" s="3"/>
      <c r="I969" s="491"/>
    </row>
    <row r="970" spans="1:9" ht="12.75" customHeight="1">
      <c r="A970" s="175"/>
      <c r="B970" s="486" t="s">
        <v>306</v>
      </c>
      <c r="C970" s="355"/>
      <c r="D970" s="1289" t="s">
        <v>1807</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1785</v>
      </c>
      <c r="E972" s="1296"/>
      <c r="F972" s="1296"/>
      <c r="G972"/>
      <c r="I972" s="491"/>
    </row>
    <row r="973" spans="1:9" ht="12.75" customHeight="1">
      <c r="A973" s="175"/>
      <c r="B973" s="486" t="s">
        <v>306</v>
      </c>
      <c r="C973" s="355"/>
      <c r="D973" s="1263" t="s">
        <v>2073</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1786</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1808</v>
      </c>
      <c r="E991" s="1296"/>
      <c r="F991" s="1296"/>
      <c r="G991" s="3"/>
      <c r="I991" s="491"/>
    </row>
    <row r="992" spans="1:9" ht="12.75" customHeight="1">
      <c r="A992" s="172"/>
      <c r="B992" s="172"/>
      <c r="C992" s="172"/>
      <c r="D992" s="1289" t="s">
        <v>1787</v>
      </c>
      <c r="E992" s="1289"/>
      <c r="F992" s="1289"/>
      <c r="G992" s="3"/>
      <c r="I992" s="491"/>
    </row>
    <row r="993" spans="1:9" ht="12.75" customHeight="1">
      <c r="A993" s="172"/>
      <c r="B993" s="172"/>
      <c r="C993" s="172"/>
      <c r="D993" s="3"/>
      <c r="E993" s="3"/>
      <c r="F993" s="989"/>
      <c r="G993"/>
      <c r="I993" s="491"/>
    </row>
    <row r="994" spans="1:9" ht="12.75" customHeight="1">
      <c r="A994" s="355"/>
      <c r="B994" s="486" t="s">
        <v>306</v>
      </c>
      <c r="C994" s="355"/>
      <c r="D994" s="1297" t="s">
        <v>1916</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3" t="s">
        <v>1788</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3" t="s">
        <v>2233</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289" t="s">
        <v>1789</v>
      </c>
      <c r="E1010" s="1289"/>
      <c r="F1010" s="1289"/>
      <c r="G1010"/>
      <c r="I1010" s="491"/>
    </row>
    <row r="1011" spans="1:9" ht="12.75" customHeight="1">
      <c r="A1011" s="355"/>
      <c r="B1011" s="355"/>
      <c r="C1011" s="355"/>
      <c r="D1011" s="3"/>
      <c r="E1011" s="3"/>
      <c r="F1011" s="3"/>
      <c r="G1011"/>
      <c r="I1011" s="491"/>
    </row>
    <row r="1012" spans="1:9" ht="12.75" customHeight="1">
      <c r="A1012" s="175"/>
      <c r="B1012" s="486" t="s">
        <v>306</v>
      </c>
      <c r="C1012" s="355"/>
      <c r="D1012" s="1289" t="s">
        <v>1790</v>
      </c>
      <c r="E1012" s="1289"/>
      <c r="F1012" s="1289"/>
      <c r="G1012"/>
      <c r="I1012" s="491"/>
    </row>
    <row r="1013" spans="1:9" ht="12.75" customHeight="1">
      <c r="A1013" s="355"/>
      <c r="B1013" s="355"/>
      <c r="C1013" s="355"/>
      <c r="D1013" s="118"/>
      <c r="E1013" s="3"/>
      <c r="F1013" s="3"/>
      <c r="G1013"/>
      <c r="I1013" s="491"/>
    </row>
    <row r="1014" spans="1:9" ht="12.75" customHeight="1">
      <c r="A1014" s="175"/>
      <c r="B1014" s="486" t="s">
        <v>306</v>
      </c>
      <c r="C1014" s="355"/>
      <c r="D1014" s="1289" t="s">
        <v>1791</v>
      </c>
      <c r="E1014" s="1289"/>
      <c r="F1014" s="1289"/>
      <c r="G1014"/>
      <c r="I1014" s="491"/>
    </row>
    <row r="1015" spans="1:9" ht="12.75" customHeight="1">
      <c r="A1015" s="355"/>
      <c r="B1015" s="355"/>
      <c r="C1015" s="355"/>
      <c r="D1015" s="118"/>
      <c r="E1015" s="3"/>
      <c r="F1015" s="3"/>
      <c r="G1015"/>
      <c r="I1015" s="491"/>
    </row>
    <row r="1016" spans="1:9" ht="12.75" customHeight="1">
      <c r="A1016" s="175"/>
      <c r="B1016" s="486" t="s">
        <v>306</v>
      </c>
      <c r="C1016" s="355"/>
      <c r="D1016" s="1263" t="s">
        <v>1792</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295" t="s">
        <v>1793</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285" t="s">
        <v>1794</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289" t="s">
        <v>1795</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3" t="s">
        <v>1796</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1797</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1798</v>
      </c>
      <c r="E1031" s="1284"/>
      <c r="F1031" s="1284"/>
      <c r="G1031" s="3"/>
      <c r="I1031" s="491"/>
    </row>
    <row r="1032" spans="1:9" ht="12.75" customHeight="1">
      <c r="A1032" s="355"/>
      <c r="B1032" s="355"/>
      <c r="C1032" s="355"/>
      <c r="D1032" s="1285" t="s">
        <v>1799</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1813</v>
      </c>
      <c r="E1034" s="1284"/>
      <c r="F1034" s="1284"/>
      <c r="G1034" s="3"/>
      <c r="I1034" s="491"/>
    </row>
    <row r="1035" spans="1:9" ht="12.75" customHeight="1">
      <c r="A1035" s="355"/>
      <c r="B1035" s="486" t="s">
        <v>306</v>
      </c>
      <c r="C1035" s="355"/>
      <c r="D1035" s="1285" t="s">
        <v>1271</v>
      </c>
      <c r="E1035" s="1285"/>
      <c r="F1035" s="1285"/>
      <c r="G1035" s="3"/>
      <c r="I1035" s="491"/>
    </row>
    <row r="1036" spans="1:9" ht="12.75" customHeight="1">
      <c r="A1036" s="355"/>
      <c r="B1036" s="175"/>
      <c r="C1036" s="355"/>
      <c r="D1036" s="1285" t="s">
        <v>1800</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1809</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1272</v>
      </c>
      <c r="E1040" s="1283"/>
      <c r="F1040" s="1283"/>
      <c r="G1040" s="3"/>
      <c r="I1040" s="491"/>
    </row>
    <row r="1041" spans="1:9" ht="12.75" hidden="1" customHeight="1">
      <c r="A1041" s="118"/>
      <c r="B1041" s="486" t="s">
        <v>306</v>
      </c>
      <c r="D1041" s="1282" t="s">
        <v>1271</v>
      </c>
      <c r="E1041" s="1282"/>
      <c r="F1041" s="1282"/>
      <c r="G1041" s="3"/>
      <c r="I1041" s="491"/>
    </row>
    <row r="1042" spans="1:9" ht="12.75" hidden="1" customHeight="1">
      <c r="A1042" s="118"/>
      <c r="B1042" s="403"/>
      <c r="D1042" s="1282" t="s">
        <v>1810</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1066</v>
      </c>
      <c r="E1044" s="1287"/>
      <c r="F1044" s="1287"/>
      <c r="G1044" s="3"/>
      <c r="I1044" s="491"/>
    </row>
    <row r="1045" spans="1:9" ht="12.75" customHeight="1">
      <c r="A1045" s="320"/>
      <c r="B1045" s="320"/>
      <c r="C1045" s="320"/>
      <c r="D1045" s="1288" t="s">
        <v>2251</v>
      </c>
      <c r="E1045" s="1288"/>
      <c r="F1045" s="1288"/>
      <c r="G1045" s="98"/>
      <c r="I1045" s="491"/>
    </row>
    <row r="1046" spans="1:9" ht="12.75" customHeight="1">
      <c r="A1046" s="175"/>
      <c r="B1046" s="486" t="s">
        <v>306</v>
      </c>
      <c r="C1046" s="355"/>
      <c r="D1046" s="1288" t="s">
        <v>985</v>
      </c>
      <c r="E1046" s="1288"/>
      <c r="F1046" s="1288"/>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6" t="s">
        <v>1830</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292" t="s">
        <v>1814</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292" t="s">
        <v>1818</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1819</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3" t="s">
        <v>1829</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291" t="s">
        <v>1821</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1831</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293" t="s">
        <v>1930</v>
      </c>
      <c r="E1101" s="1293"/>
      <c r="F1101" s="1293"/>
      <c r="I1101" s="491"/>
    </row>
    <row r="1102" spans="1:9">
      <c r="A1102" s="403"/>
      <c r="B1102" s="403"/>
      <c r="C1102" s="403"/>
      <c r="D1102" s="1293"/>
      <c r="E1102" s="1293"/>
      <c r="F1102" s="1293"/>
      <c r="I1102" s="491"/>
    </row>
    <row r="1103" spans="1:9">
      <c r="A1103" s="403"/>
      <c r="B1103" s="403"/>
      <c r="C1103" s="403"/>
      <c r="D1103" s="1294" t="s">
        <v>2145</v>
      </c>
      <c r="E1103" s="1263"/>
      <c r="F1103" s="1263"/>
      <c r="I1103" s="491"/>
    </row>
    <row r="1104" spans="1:9">
      <c r="A1104" s="403"/>
      <c r="B1104" s="403"/>
      <c r="C1104" s="403"/>
      <c r="D1104" s="528"/>
      <c r="I1104" s="491"/>
    </row>
    <row r="1105" spans="1:9">
      <c r="A1105" s="403"/>
      <c r="B1105" s="486" t="s">
        <v>306</v>
      </c>
      <c r="C1105" s="403"/>
      <c r="D1105" s="1291" t="s">
        <v>1832</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306</v>
      </c>
      <c r="C1108" s="403"/>
      <c r="D1108" s="1291" t="s">
        <v>1888</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c r="A1114" s="403"/>
      <c r="B1114" s="403"/>
      <c r="C1114" s="403"/>
      <c r="D1114" s="528"/>
      <c r="I1114" s="481"/>
    </row>
    <row r="1115" spans="1:9">
      <c r="A1115" s="403"/>
      <c r="B1115" s="486" t="s">
        <v>306</v>
      </c>
      <c r="C1115" s="403"/>
      <c r="D1115" s="1291" t="s">
        <v>1833</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306</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306</v>
      </c>
      <c r="C1123" s="403"/>
      <c r="D1123" s="1263" t="s">
        <v>1890</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84" sqref="C8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59" t="s">
        <v>621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4500000</v>
      </c>
      <c r="C4" s="147">
        <v>4500000</v>
      </c>
      <c r="D4" s="147"/>
      <c r="E4" s="147">
        <f t="shared" ref="E4:E10" si="0">C4-SUM(F4:Q4)</f>
        <v>1000000</v>
      </c>
      <c r="F4" s="147"/>
      <c r="G4" s="147"/>
      <c r="H4" s="147">
        <v>3500000</v>
      </c>
      <c r="I4" s="147"/>
      <c r="J4" s="147"/>
      <c r="K4" s="147"/>
      <c r="L4" s="147"/>
      <c r="M4" s="147"/>
      <c r="N4" s="147"/>
      <c r="O4" s="147"/>
      <c r="P4" s="147"/>
      <c r="Q4" s="147"/>
      <c r="R4" s="517">
        <f>SUM(E4:Q4)</f>
        <v>4500000</v>
      </c>
      <c r="S4" s="148"/>
      <c r="T4" s="148"/>
      <c r="U4" s="143"/>
    </row>
    <row r="5" spans="1:21" s="144" customFormat="1">
      <c r="A5" s="145" t="s">
        <v>28</v>
      </c>
      <c r="B5" s="146">
        <f>SUM(C5+D5)</f>
        <v>52000</v>
      </c>
      <c r="C5" s="147">
        <v>52000</v>
      </c>
      <c r="D5" s="147"/>
      <c r="E5" s="147">
        <f t="shared" si="0"/>
        <v>52000</v>
      </c>
      <c r="F5" s="147"/>
      <c r="G5" s="147"/>
      <c r="H5" s="147"/>
      <c r="I5" s="147"/>
      <c r="J5" s="147"/>
      <c r="K5" s="147"/>
      <c r="L5" s="147"/>
      <c r="M5" s="147"/>
      <c r="N5" s="147"/>
      <c r="O5" s="147"/>
      <c r="P5" s="147"/>
      <c r="Q5" s="147"/>
      <c r="R5" s="517">
        <f>SUM(E5:Q5)</f>
        <v>52000</v>
      </c>
      <c r="S5" s="148"/>
      <c r="T5" s="148"/>
      <c r="U5" s="143"/>
    </row>
    <row r="6" spans="1:21" s="144" customFormat="1">
      <c r="A6" s="145" t="s">
        <v>29</v>
      </c>
      <c r="B6" s="146">
        <f>SUM(C6+D6)</f>
        <v>35250</v>
      </c>
      <c r="C6" s="147">
        <v>35250</v>
      </c>
      <c r="D6" s="147"/>
      <c r="E6" s="147">
        <f t="shared" si="0"/>
        <v>35250</v>
      </c>
      <c r="F6" s="147"/>
      <c r="G6" s="147"/>
      <c r="H6" s="147"/>
      <c r="I6" s="147"/>
      <c r="J6" s="147"/>
      <c r="K6" s="147"/>
      <c r="L6" s="147"/>
      <c r="M6" s="147"/>
      <c r="N6" s="147"/>
      <c r="O6" s="147"/>
      <c r="P6" s="147"/>
      <c r="Q6" s="147"/>
      <c r="R6" s="517">
        <f>SUM(E6:Q6)</f>
        <v>35250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4587250</v>
      </c>
      <c r="C8" s="146">
        <f t="shared" ref="C8:Q8" si="1">SUM(C4:C7)</f>
        <v>4587250</v>
      </c>
      <c r="D8" s="146">
        <f t="shared" si="1"/>
        <v>0</v>
      </c>
      <c r="E8" s="146">
        <f t="shared" si="1"/>
        <v>1087250</v>
      </c>
      <c r="F8" s="146">
        <f t="shared" si="1"/>
        <v>0</v>
      </c>
      <c r="G8" s="146">
        <f t="shared" si="1"/>
        <v>0</v>
      </c>
      <c r="H8" s="146">
        <f t="shared" si="1"/>
        <v>3500000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4587250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4587250</v>
      </c>
      <c r="C12" s="146">
        <f t="shared" si="3"/>
        <v>4587250</v>
      </c>
      <c r="D12" s="146">
        <f t="shared" si="3"/>
        <v>0</v>
      </c>
      <c r="E12" s="146">
        <f t="shared" si="3"/>
        <v>1087250</v>
      </c>
      <c r="F12" s="146">
        <f t="shared" si="3"/>
        <v>0</v>
      </c>
      <c r="G12" s="146">
        <f t="shared" si="3"/>
        <v>0</v>
      </c>
      <c r="H12" s="146">
        <f t="shared" si="3"/>
        <v>3500000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4587250</v>
      </c>
      <c r="S12" s="148"/>
      <c r="T12" s="148"/>
      <c r="U12" s="143"/>
    </row>
    <row r="13" spans="1:21" s="144" customFormat="1">
      <c r="A13" s="288" t="s">
        <v>902</v>
      </c>
      <c r="B13" s="146">
        <f>SUM(C13+D13)</f>
        <v>735333</v>
      </c>
      <c r="C13" s="147">
        <v>735333</v>
      </c>
      <c r="D13" s="147"/>
      <c r="E13" s="147">
        <f t="shared" ref="E13:E15" si="4">C13-SUM(F13:Q13)</f>
        <v>0</v>
      </c>
      <c r="F13" s="147"/>
      <c r="G13" s="147"/>
      <c r="H13" s="147">
        <f>C13</f>
        <v>735333</v>
      </c>
      <c r="I13" s="147"/>
      <c r="J13" s="147"/>
      <c r="K13" s="147"/>
      <c r="L13" s="147"/>
      <c r="M13" s="147"/>
      <c r="N13" s="147"/>
      <c r="O13" s="147"/>
      <c r="P13" s="147"/>
      <c r="Q13" s="147"/>
      <c r="R13" s="517">
        <f>SUM(E13:Q13)</f>
        <v>735333</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210000</v>
      </c>
      <c r="C27" s="147">
        <v>210000</v>
      </c>
      <c r="D27" s="147"/>
      <c r="E27" s="147">
        <f t="shared" ref="E27" si="8">C27-SUM(F27:Q27)</f>
        <v>210000</v>
      </c>
      <c r="F27" s="147"/>
      <c r="G27" s="147"/>
      <c r="H27" s="147"/>
      <c r="I27" s="147"/>
      <c r="J27" s="147"/>
      <c r="K27" s="147"/>
      <c r="L27" s="147"/>
      <c r="M27" s="147"/>
      <c r="N27" s="147"/>
      <c r="O27" s="147"/>
      <c r="P27" s="147"/>
      <c r="Q27" s="147"/>
      <c r="R27" s="517">
        <f t="shared" si="6"/>
        <v>210000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262646</v>
      </c>
      <c r="C29" s="147">
        <v>262646</v>
      </c>
      <c r="D29" s="147"/>
      <c r="E29" s="147">
        <f t="shared" ref="E29:E37" si="10">C29-SUM(F29:Q29)</f>
        <v>262646</v>
      </c>
      <c r="F29" s="147"/>
      <c r="G29" s="147"/>
      <c r="H29" s="147"/>
      <c r="I29" s="147"/>
      <c r="J29" s="147"/>
      <c r="K29" s="147"/>
      <c r="L29" s="147"/>
      <c r="M29" s="147"/>
      <c r="N29" s="147"/>
      <c r="O29" s="147"/>
      <c r="P29" s="147"/>
      <c r="Q29" s="147"/>
      <c r="R29" s="517">
        <f t="shared" ref="R29:R37" si="11">SUM(E29:Q29)</f>
        <v>262646</v>
      </c>
      <c r="S29" s="147">
        <f>C29</f>
        <v>262646</v>
      </c>
      <c r="T29" s="147"/>
      <c r="U29" s="143"/>
    </row>
    <row r="30" spans="1:21" s="144" customFormat="1">
      <c r="A30" s="145" t="s">
        <v>599</v>
      </c>
      <c r="B30" s="146">
        <f t="shared" si="9"/>
        <v>15708604</v>
      </c>
      <c r="C30" s="147">
        <f>15378736+329868</f>
        <v>15708604</v>
      </c>
      <c r="D30" s="147"/>
      <c r="E30" s="147">
        <f t="shared" si="10"/>
        <v>217009</v>
      </c>
      <c r="F30" s="147">
        <f>Application!AO627-F33-F32-F31-F35</f>
        <v>15491595</v>
      </c>
      <c r="G30" s="147">
        <f>Application!AO628</f>
        <v>0</v>
      </c>
      <c r="H30" s="147"/>
      <c r="I30" s="147"/>
      <c r="J30" s="147"/>
      <c r="K30" s="147"/>
      <c r="L30" s="147"/>
      <c r="M30" s="147"/>
      <c r="N30" s="147"/>
      <c r="O30" s="147"/>
      <c r="P30" s="147"/>
      <c r="Q30" s="147"/>
      <c r="R30" s="517">
        <f t="shared" si="11"/>
        <v>15708604</v>
      </c>
      <c r="S30" s="147">
        <f t="shared" ref="S30:S35" si="12">C30</f>
        <v>15708604</v>
      </c>
      <c r="T30" s="147"/>
      <c r="U30" s="143"/>
    </row>
    <row r="31" spans="1:21" s="144" customFormat="1">
      <c r="A31" s="145" t="s">
        <v>600</v>
      </c>
      <c r="B31" s="146">
        <f t="shared" si="9"/>
        <v>800000</v>
      </c>
      <c r="C31" s="147">
        <v>800000</v>
      </c>
      <c r="D31" s="147"/>
      <c r="E31" s="147">
        <f t="shared" si="10"/>
        <v>0</v>
      </c>
      <c r="F31" s="147">
        <f>C31</f>
        <v>800000</v>
      </c>
      <c r="G31" s="147"/>
      <c r="H31" s="147"/>
      <c r="I31" s="147"/>
      <c r="J31" s="147"/>
      <c r="K31" s="147"/>
      <c r="L31" s="147"/>
      <c r="M31" s="147"/>
      <c r="N31" s="147"/>
      <c r="O31" s="147"/>
      <c r="P31" s="147"/>
      <c r="Q31" s="147"/>
      <c r="R31" s="517">
        <f t="shared" si="11"/>
        <v>800000</v>
      </c>
      <c r="S31" s="147">
        <f t="shared" si="12"/>
        <v>800000</v>
      </c>
      <c r="T31" s="147"/>
      <c r="U31" s="143"/>
    </row>
    <row r="32" spans="1:21" s="144" customFormat="1">
      <c r="A32" s="145" t="s">
        <v>137</v>
      </c>
      <c r="B32" s="146">
        <f t="shared" si="9"/>
        <v>650000</v>
      </c>
      <c r="C32" s="147">
        <v>650000</v>
      </c>
      <c r="D32" s="147"/>
      <c r="E32" s="147">
        <f t="shared" si="10"/>
        <v>0</v>
      </c>
      <c r="F32" s="147">
        <f>C32</f>
        <v>650000</v>
      </c>
      <c r="G32" s="147"/>
      <c r="H32" s="147"/>
      <c r="I32" s="147"/>
      <c r="J32" s="147"/>
      <c r="K32" s="147"/>
      <c r="L32" s="147"/>
      <c r="M32" s="147"/>
      <c r="N32" s="147"/>
      <c r="O32" s="147"/>
      <c r="P32" s="147"/>
      <c r="Q32" s="147"/>
      <c r="R32" s="517">
        <f t="shared" si="11"/>
        <v>650000</v>
      </c>
      <c r="S32" s="147">
        <f t="shared" si="12"/>
        <v>650000</v>
      </c>
      <c r="T32" s="147"/>
      <c r="U32" s="143"/>
    </row>
    <row r="33" spans="1:21" s="144" customFormat="1">
      <c r="A33" s="145" t="s">
        <v>138</v>
      </c>
      <c r="B33" s="146">
        <f t="shared" si="9"/>
        <v>669471</v>
      </c>
      <c r="C33" s="147">
        <f>1319471-C32</f>
        <v>669471</v>
      </c>
      <c r="D33" s="147"/>
      <c r="E33" s="147">
        <f t="shared" si="10"/>
        <v>0</v>
      </c>
      <c r="F33" s="147">
        <f>C33</f>
        <v>669471</v>
      </c>
      <c r="G33" s="147"/>
      <c r="H33" s="147"/>
      <c r="I33" s="147"/>
      <c r="J33" s="147"/>
      <c r="K33" s="147"/>
      <c r="L33" s="147"/>
      <c r="M33" s="147"/>
      <c r="N33" s="147"/>
      <c r="O33" s="147"/>
      <c r="P33" s="147"/>
      <c r="Q33" s="147"/>
      <c r="R33" s="517">
        <f t="shared" si="11"/>
        <v>669471</v>
      </c>
      <c r="S33" s="147">
        <f t="shared" si="12"/>
        <v>669471</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164934</v>
      </c>
      <c r="C35" s="147">
        <v>164934</v>
      </c>
      <c r="D35" s="147"/>
      <c r="E35" s="147">
        <f t="shared" si="10"/>
        <v>0</v>
      </c>
      <c r="F35" s="147">
        <f>C35</f>
        <v>164934</v>
      </c>
      <c r="G35" s="147"/>
      <c r="H35" s="147"/>
      <c r="I35" s="147"/>
      <c r="J35" s="147"/>
      <c r="K35" s="147"/>
      <c r="L35" s="147"/>
      <c r="M35" s="147"/>
      <c r="N35" s="147"/>
      <c r="O35" s="147"/>
      <c r="P35" s="147"/>
      <c r="Q35" s="147"/>
      <c r="R35" s="517">
        <f t="shared" si="11"/>
        <v>164934</v>
      </c>
      <c r="S35" s="147">
        <f t="shared" si="12"/>
        <v>164934</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18255655</v>
      </c>
      <c r="C38" s="146">
        <f>SUM(C29:C37)</f>
        <v>18255655</v>
      </c>
      <c r="D38" s="146">
        <f t="shared" ref="D38:Q38" si="13">SUM(D29:D37)</f>
        <v>0</v>
      </c>
      <c r="E38" s="146">
        <f t="shared" si="13"/>
        <v>479655</v>
      </c>
      <c r="F38" s="146">
        <f t="shared" si="13"/>
        <v>17776000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18255655</v>
      </c>
      <c r="S38" s="150">
        <f>SUM(S29:S37)</f>
        <v>18255655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139600</v>
      </c>
      <c r="C40" s="147">
        <v>139600</v>
      </c>
      <c r="D40" s="147"/>
      <c r="E40" s="147">
        <f t="shared" ref="E40:E41" si="14">C40-SUM(F40:Q40)</f>
        <v>139600</v>
      </c>
      <c r="F40" s="147"/>
      <c r="G40" s="147"/>
      <c r="H40" s="147"/>
      <c r="I40" s="147"/>
      <c r="J40" s="147"/>
      <c r="K40" s="147"/>
      <c r="L40" s="147"/>
      <c r="M40" s="147"/>
      <c r="N40" s="147"/>
      <c r="O40" s="147"/>
      <c r="P40" s="147"/>
      <c r="Q40" s="147"/>
      <c r="R40" s="517">
        <f>SUM(E40:Q40)</f>
        <v>139600</v>
      </c>
      <c r="S40" s="147">
        <f t="shared" ref="S40:S43" si="15">C40</f>
        <v>139600</v>
      </c>
      <c r="T40" s="147"/>
      <c r="U40" s="143"/>
    </row>
    <row r="41" spans="1:21" s="144" customFormat="1">
      <c r="A41" s="145" t="s">
        <v>146</v>
      </c>
      <c r="B41" s="146">
        <f>SUM(C41+D41)</f>
        <v>10000</v>
      </c>
      <c r="C41" s="147">
        <v>10000</v>
      </c>
      <c r="D41" s="147"/>
      <c r="E41" s="147">
        <f t="shared" si="14"/>
        <v>10000</v>
      </c>
      <c r="F41" s="147"/>
      <c r="G41" s="147"/>
      <c r="H41" s="147"/>
      <c r="I41" s="147"/>
      <c r="J41" s="147"/>
      <c r="K41" s="147"/>
      <c r="L41" s="147"/>
      <c r="M41" s="147"/>
      <c r="N41" s="147"/>
      <c r="O41" s="147"/>
      <c r="P41" s="147"/>
      <c r="Q41" s="147"/>
      <c r="R41" s="517">
        <f>SUM(E41:Q41)</f>
        <v>10000</v>
      </c>
      <c r="S41" s="147">
        <f t="shared" si="15"/>
        <v>10000</v>
      </c>
      <c r="T41" s="147"/>
      <c r="U41" s="143"/>
    </row>
    <row r="42" spans="1:21" s="144" customFormat="1" ht="12">
      <c r="A42" s="149" t="s">
        <v>147</v>
      </c>
      <c r="B42" s="146">
        <f>SUM(C42:D42)</f>
        <v>149600</v>
      </c>
      <c r="C42" s="146">
        <f>SUM(C39:C41)</f>
        <v>149600</v>
      </c>
      <c r="D42" s="146">
        <f>SUM(D39:D41)</f>
        <v>0</v>
      </c>
      <c r="E42" s="146">
        <f t="shared" ref="E42:T42" si="16">SUM(E40:E41)</f>
        <v>149600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149600</v>
      </c>
      <c r="S42" s="150">
        <f t="shared" si="16"/>
        <v>149600</v>
      </c>
      <c r="T42" s="150">
        <f t="shared" si="16"/>
        <v>0</v>
      </c>
      <c r="U42" s="143"/>
    </row>
    <row r="43" spans="1:21" s="144" customFormat="1" ht="12">
      <c r="A43" s="149" t="s">
        <v>148</v>
      </c>
      <c r="B43" s="146">
        <f>SUM(C43:D43)</f>
        <v>719525</v>
      </c>
      <c r="C43" s="147">
        <f>752525-C84</f>
        <v>719525</v>
      </c>
      <c r="D43" s="147"/>
      <c r="E43" s="147">
        <f t="shared" ref="E43" si="17">C43-SUM(F43:Q43)</f>
        <v>719525</v>
      </c>
      <c r="F43" s="147"/>
      <c r="G43" s="147"/>
      <c r="H43" s="147"/>
      <c r="I43" s="147"/>
      <c r="J43" s="147"/>
      <c r="K43" s="147"/>
      <c r="L43" s="147"/>
      <c r="M43" s="147"/>
      <c r="N43" s="147"/>
      <c r="O43" s="147"/>
      <c r="P43" s="147"/>
      <c r="Q43" s="147"/>
      <c r="R43" s="517">
        <f>SUM(E43:Q43)</f>
        <v>719525</v>
      </c>
      <c r="S43" s="147">
        <f t="shared" si="15"/>
        <v>719525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2277000</v>
      </c>
      <c r="C45" s="147">
        <f>910000+S45</f>
        <v>2277000</v>
      </c>
      <c r="D45" s="147"/>
      <c r="E45" s="147">
        <f t="shared" ref="E45:E53" si="19">C45-SUM(F45:Q45)</f>
        <v>2277000</v>
      </c>
      <c r="F45" s="147"/>
      <c r="G45" s="147"/>
      <c r="H45" s="147"/>
      <c r="I45" s="147"/>
      <c r="J45" s="147"/>
      <c r="K45" s="147"/>
      <c r="L45" s="147"/>
      <c r="M45" s="147"/>
      <c r="N45" s="147"/>
      <c r="O45" s="147"/>
      <c r="P45" s="147"/>
      <c r="Q45" s="147"/>
      <c r="R45" s="517">
        <f t="shared" ref="R45:R53" si="20">SUM(E45:Q45)</f>
        <v>2277000</v>
      </c>
      <c r="S45" s="147">
        <v>1367000</v>
      </c>
      <c r="T45" s="147"/>
      <c r="U45" s="143"/>
    </row>
    <row r="46" spans="1:21" s="144" customFormat="1">
      <c r="A46" s="145" t="s">
        <v>151</v>
      </c>
      <c r="B46" s="146">
        <f t="shared" si="18"/>
        <v>257350</v>
      </c>
      <c r="C46" s="147">
        <v>257350</v>
      </c>
      <c r="D46" s="147"/>
      <c r="E46" s="147">
        <f t="shared" si="19"/>
        <v>257350</v>
      </c>
      <c r="F46" s="147"/>
      <c r="G46" s="147"/>
      <c r="H46" s="147"/>
      <c r="I46" s="147"/>
      <c r="J46" s="147"/>
      <c r="K46" s="147"/>
      <c r="L46" s="147"/>
      <c r="M46" s="147"/>
      <c r="N46" s="147"/>
      <c r="O46" s="147"/>
      <c r="P46" s="147"/>
      <c r="Q46" s="147"/>
      <c r="R46" s="517">
        <f t="shared" si="20"/>
        <v>257350</v>
      </c>
      <c r="S46" s="147">
        <f t="shared" ref="S46:S47" si="21">C46</f>
        <v>257350</v>
      </c>
      <c r="T46" s="147"/>
      <c r="U46" s="143"/>
    </row>
    <row r="47" spans="1:21" s="144" customFormat="1">
      <c r="A47" s="186" t="s">
        <v>152</v>
      </c>
      <c r="B47" s="146">
        <f t="shared" si="18"/>
        <v>25000</v>
      </c>
      <c r="C47" s="147">
        <f>35000-C92</f>
        <v>25000</v>
      </c>
      <c r="D47" s="147"/>
      <c r="E47" s="147">
        <f t="shared" si="19"/>
        <v>25000</v>
      </c>
      <c r="F47" s="147"/>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17">
        <f t="shared" si="20"/>
        <v>60000</v>
      </c>
      <c r="S50" s="147">
        <f t="shared" ref="S50:S53" si="22">C50</f>
        <v>60000</v>
      </c>
      <c r="T50" s="147"/>
      <c r="U50" s="143"/>
    </row>
    <row r="51" spans="1:21" s="144" customFormat="1">
      <c r="A51" s="284" t="s">
        <v>154</v>
      </c>
      <c r="B51" s="146">
        <f t="shared" si="18"/>
        <v>48081</v>
      </c>
      <c r="C51" s="147">
        <v>48081</v>
      </c>
      <c r="D51" s="147"/>
      <c r="E51" s="147">
        <f t="shared" si="19"/>
        <v>48081</v>
      </c>
      <c r="F51" s="147"/>
      <c r="G51" s="147"/>
      <c r="H51" s="147"/>
      <c r="I51" s="147"/>
      <c r="J51" s="147"/>
      <c r="K51" s="147"/>
      <c r="L51" s="147"/>
      <c r="M51" s="147"/>
      <c r="N51" s="147"/>
      <c r="O51" s="147"/>
      <c r="P51" s="147"/>
      <c r="Q51" s="147"/>
      <c r="R51" s="517">
        <f t="shared" si="20"/>
        <v>48081</v>
      </c>
      <c r="S51" s="147">
        <f t="shared" si="22"/>
        <v>48081</v>
      </c>
      <c r="T51" s="147"/>
      <c r="U51" s="143"/>
    </row>
    <row r="52" spans="1:21" s="144" customFormat="1">
      <c r="A52" s="145" t="s">
        <v>155</v>
      </c>
      <c r="B52" s="146">
        <f t="shared" si="18"/>
        <v>346958</v>
      </c>
      <c r="C52" s="147">
        <f>182707+164251</f>
        <v>346958</v>
      </c>
      <c r="D52" s="147"/>
      <c r="E52" s="147">
        <f t="shared" si="19"/>
        <v>346958</v>
      </c>
      <c r="F52" s="147"/>
      <c r="G52" s="147"/>
      <c r="H52" s="147"/>
      <c r="I52" s="147"/>
      <c r="J52" s="147"/>
      <c r="K52" s="147"/>
      <c r="L52" s="147"/>
      <c r="M52" s="147"/>
      <c r="N52" s="147"/>
      <c r="O52" s="147"/>
      <c r="P52" s="147"/>
      <c r="Q52" s="147"/>
      <c r="R52" s="517">
        <f t="shared" si="20"/>
        <v>346958</v>
      </c>
      <c r="S52" s="147">
        <f t="shared" si="22"/>
        <v>346958</v>
      </c>
      <c r="T52" s="147"/>
      <c r="U52" s="143"/>
    </row>
    <row r="53" spans="1:21" s="144" customFormat="1">
      <c r="A53" s="1151" t="s">
        <v>2707</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3050389</v>
      </c>
      <c r="C54" s="150">
        <f t="shared" ref="C54:T54" si="23">SUM(C45:C53)</f>
        <v>3050389</v>
      </c>
      <c r="D54" s="150">
        <f t="shared" si="23"/>
        <v>0</v>
      </c>
      <c r="E54" s="150">
        <f t="shared" si="23"/>
        <v>3050389</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3050389</v>
      </c>
      <c r="S54" s="150">
        <f t="shared" si="23"/>
        <v>2140389</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433369</v>
      </c>
      <c r="C57" s="190">
        <f>490869-C56-C58-50000-C90</f>
        <v>433369</v>
      </c>
      <c r="D57" s="190"/>
      <c r="E57" s="190">
        <f t="shared" si="25"/>
        <v>433369</v>
      </c>
      <c r="F57" s="190"/>
      <c r="G57" s="190"/>
      <c r="H57" s="190"/>
      <c r="I57" s="190"/>
      <c r="J57" s="190"/>
      <c r="K57" s="190"/>
      <c r="L57" s="190"/>
      <c r="M57" s="190"/>
      <c r="N57" s="190"/>
      <c r="O57" s="190"/>
      <c r="P57" s="190"/>
      <c r="Q57" s="190"/>
      <c r="R57" s="517">
        <f t="shared" si="26"/>
        <v>433369</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433369</v>
      </c>
      <c r="C62" s="146">
        <f t="shared" ref="C62:R62" si="27">SUM(C56:C61)</f>
        <v>433369</v>
      </c>
      <c r="D62" s="146">
        <f t="shared" si="27"/>
        <v>0</v>
      </c>
      <c r="E62" s="146">
        <f t="shared" si="27"/>
        <v>433369</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433369</v>
      </c>
      <c r="S62" s="148"/>
      <c r="T62" s="148"/>
      <c r="U62" s="143"/>
    </row>
    <row r="63" spans="1:21" s="144" customFormat="1">
      <c r="A63" s="154" t="s">
        <v>301</v>
      </c>
      <c r="B63" s="146">
        <f t="shared" ref="B63:R63" si="28">SUM(B8+B11+B13+B14+B15+B26+B27+B38+B42+B43+B54+B62)</f>
        <v>28141121</v>
      </c>
      <c r="C63" s="146">
        <f t="shared" si="28"/>
        <v>28141121</v>
      </c>
      <c r="D63" s="146">
        <f t="shared" si="28"/>
        <v>0</v>
      </c>
      <c r="E63" s="146">
        <f t="shared" si="28"/>
        <v>6129788</v>
      </c>
      <c r="F63" s="146">
        <f t="shared" si="28"/>
        <v>17776000</v>
      </c>
      <c r="G63" s="146">
        <f t="shared" si="28"/>
        <v>0</v>
      </c>
      <c r="H63" s="146">
        <f t="shared" si="28"/>
        <v>4235333</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28141121</v>
      </c>
      <c r="S63" s="146">
        <f>SUM(S10+S13+S14+S15+S26+S27+S38+S42+S43+S54)</f>
        <v>21265169</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332350-C46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2708</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465931</v>
      </c>
      <c r="C75" s="147">
        <v>465931</v>
      </c>
      <c r="D75" s="147"/>
      <c r="E75" s="147">
        <f t="shared" si="33"/>
        <v>465931</v>
      </c>
      <c r="F75" s="147"/>
      <c r="G75" s="147"/>
      <c r="H75" s="147"/>
      <c r="I75" s="147"/>
      <c r="J75" s="147"/>
      <c r="K75" s="147"/>
      <c r="L75" s="147"/>
      <c r="M75" s="147"/>
      <c r="N75" s="147"/>
      <c r="O75" s="147"/>
      <c r="P75" s="147"/>
      <c r="Q75" s="147"/>
      <c r="R75" s="517">
        <f>SUM(E75:Q75)</f>
        <v>465931</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465931</v>
      </c>
      <c r="C77" s="146">
        <f>SUM(C72:C76)</f>
        <v>465931</v>
      </c>
      <c r="D77" s="146">
        <f>SUM(D72:D76)</f>
        <v>0</v>
      </c>
      <c r="E77" s="146">
        <f t="shared" ref="E77:Q77" si="34">SUM(E72:E76)</f>
        <v>465931</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465931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915383</v>
      </c>
      <c r="C79" s="147">
        <v>915383</v>
      </c>
      <c r="D79" s="147"/>
      <c r="E79" s="147">
        <f t="shared" ref="E79:E80" si="35">C79-SUM(F79:Q79)</f>
        <v>915383</v>
      </c>
      <c r="F79" s="147"/>
      <c r="G79" s="147"/>
      <c r="H79" s="147"/>
      <c r="I79" s="147"/>
      <c r="J79" s="147"/>
      <c r="K79" s="147"/>
      <c r="L79" s="147"/>
      <c r="M79" s="147"/>
      <c r="N79" s="147"/>
      <c r="O79" s="147"/>
      <c r="P79" s="147"/>
      <c r="Q79" s="147"/>
      <c r="R79" s="517">
        <f>SUM(E79:Q79)</f>
        <v>915383</v>
      </c>
      <c r="S79" s="147">
        <f t="shared" ref="S79:S80" si="36">C79</f>
        <v>915383</v>
      </c>
      <c r="T79" s="147"/>
      <c r="U79" s="143"/>
    </row>
    <row r="80" spans="1:21" s="144" customFormat="1">
      <c r="A80" s="284" t="s">
        <v>58</v>
      </c>
      <c r="B80" s="146">
        <f>SUM(C80:D80)</f>
        <v>311653</v>
      </c>
      <c r="C80" s="147">
        <v>311653</v>
      </c>
      <c r="D80" s="147"/>
      <c r="E80" s="147">
        <f t="shared" si="35"/>
        <v>311653</v>
      </c>
      <c r="F80" s="147"/>
      <c r="G80" s="147"/>
      <c r="H80" s="147"/>
      <c r="I80" s="147"/>
      <c r="J80" s="147"/>
      <c r="K80" s="147"/>
      <c r="L80" s="147"/>
      <c r="M80" s="147"/>
      <c r="N80" s="147"/>
      <c r="O80" s="147"/>
      <c r="P80" s="147"/>
      <c r="Q80" s="147"/>
      <c r="R80" s="517">
        <f>SUM(E80:Q80)</f>
        <v>311653</v>
      </c>
      <c r="S80" s="147">
        <f t="shared" si="36"/>
        <v>311653</v>
      </c>
      <c r="T80" s="147"/>
      <c r="U80" s="143"/>
    </row>
    <row r="81" spans="1:21" s="144" customFormat="1" ht="12">
      <c r="A81" s="149" t="s">
        <v>1209</v>
      </c>
      <c r="B81" s="146">
        <f>SUM(C81:D81)</f>
        <v>1227036</v>
      </c>
      <c r="C81" s="510">
        <f>SUM(C79:C80)</f>
        <v>1227036</v>
      </c>
      <c r="D81" s="510">
        <f t="shared" ref="D81:T81" si="37">SUM(D79:D80)</f>
        <v>0</v>
      </c>
      <c r="E81" s="510">
        <f t="shared" si="37"/>
        <v>1227036</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1227036</v>
      </c>
      <c r="S81" s="510">
        <f t="shared" si="37"/>
        <v>1227036</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87021</v>
      </c>
      <c r="C83" s="147">
        <v>87021</v>
      </c>
      <c r="D83" s="147"/>
      <c r="E83" s="147">
        <f t="shared" ref="E83:E95" si="39">C83-SUM(F83:Q83)</f>
        <v>87021</v>
      </c>
      <c r="F83" s="147"/>
      <c r="G83" s="147"/>
      <c r="H83" s="147"/>
      <c r="I83" s="147"/>
      <c r="J83" s="147"/>
      <c r="K83" s="147"/>
      <c r="L83" s="147"/>
      <c r="M83" s="147"/>
      <c r="N83" s="147"/>
      <c r="O83" s="147"/>
      <c r="P83" s="147"/>
      <c r="Q83" s="147"/>
      <c r="R83" s="517">
        <f t="shared" ref="R83:R95" si="40">SUM(E83:Q83)</f>
        <v>87021</v>
      </c>
      <c r="S83" s="148"/>
      <c r="T83" s="148"/>
      <c r="U83" s="143"/>
    </row>
    <row r="84" spans="1:21" s="144" customFormat="1">
      <c r="A84" s="145" t="s">
        <v>767</v>
      </c>
      <c r="B84" s="146">
        <f t="shared" si="38"/>
        <v>33000</v>
      </c>
      <c r="C84" s="147">
        <v>33000</v>
      </c>
      <c r="D84" s="147"/>
      <c r="E84" s="147">
        <f t="shared" si="39"/>
        <v>33000</v>
      </c>
      <c r="F84" s="147"/>
      <c r="G84" s="147"/>
      <c r="H84" s="147"/>
      <c r="I84" s="147"/>
      <c r="J84" s="147"/>
      <c r="K84" s="147"/>
      <c r="L84" s="147"/>
      <c r="M84" s="147"/>
      <c r="N84" s="147"/>
      <c r="O84" s="147"/>
      <c r="P84" s="147"/>
      <c r="Q84" s="147"/>
      <c r="R84" s="517">
        <f t="shared" si="40"/>
        <v>33000</v>
      </c>
      <c r="S84" s="147">
        <f t="shared" ref="S84:S85" si="41">C84</f>
        <v>33000</v>
      </c>
      <c r="T84" s="147"/>
      <c r="U84" s="143"/>
    </row>
    <row r="85" spans="1:21" s="144" customFormat="1">
      <c r="A85" s="145" t="s">
        <v>768</v>
      </c>
      <c r="B85" s="146">
        <f t="shared" si="38"/>
        <v>419477</v>
      </c>
      <c r="C85" s="147">
        <v>419477</v>
      </c>
      <c r="D85" s="147"/>
      <c r="E85" s="147">
        <f t="shared" si="39"/>
        <v>419477</v>
      </c>
      <c r="F85" s="147"/>
      <c r="G85" s="147"/>
      <c r="H85" s="147"/>
      <c r="I85" s="147"/>
      <c r="J85" s="147"/>
      <c r="K85" s="147"/>
      <c r="L85" s="147"/>
      <c r="M85" s="147"/>
      <c r="N85" s="147"/>
      <c r="O85" s="147"/>
      <c r="P85" s="147"/>
      <c r="Q85" s="147"/>
      <c r="R85" s="517">
        <f t="shared" si="40"/>
        <v>419477</v>
      </c>
      <c r="S85" s="147">
        <f t="shared" si="41"/>
        <v>419477</v>
      </c>
      <c r="T85" s="147"/>
      <c r="U85" s="143"/>
    </row>
    <row r="86" spans="1:21" s="144" customFormat="1">
      <c r="A86" s="145" t="s">
        <v>769</v>
      </c>
      <c r="B86" s="146">
        <f t="shared" si="38"/>
        <v>475132</v>
      </c>
      <c r="C86" s="147">
        <f>894609-C85</f>
        <v>475132</v>
      </c>
      <c r="D86" s="147"/>
      <c r="E86" s="147">
        <f t="shared" si="39"/>
        <v>475132</v>
      </c>
      <c r="F86" s="147"/>
      <c r="G86" s="147"/>
      <c r="H86" s="147"/>
      <c r="I86" s="147"/>
      <c r="J86" s="147"/>
      <c r="K86" s="147"/>
      <c r="L86" s="147"/>
      <c r="M86" s="147"/>
      <c r="N86" s="147"/>
      <c r="O86" s="147"/>
      <c r="P86" s="147"/>
      <c r="Q86" s="147"/>
      <c r="R86" s="517">
        <f t="shared" si="40"/>
        <v>475132</v>
      </c>
      <c r="S86" s="147">
        <f t="shared" ref="S86" si="42">C86</f>
        <v>475132</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43500</v>
      </c>
      <c r="C88" s="147">
        <v>43500</v>
      </c>
      <c r="D88" s="147"/>
      <c r="E88" s="147">
        <f t="shared" si="39"/>
        <v>43500</v>
      </c>
      <c r="F88" s="147"/>
      <c r="G88" s="147"/>
      <c r="H88" s="147"/>
      <c r="I88" s="147"/>
      <c r="J88" s="147"/>
      <c r="K88" s="147"/>
      <c r="L88" s="147"/>
      <c r="M88" s="147"/>
      <c r="N88" s="147"/>
      <c r="O88" s="147"/>
      <c r="P88" s="147"/>
      <c r="Q88" s="147"/>
      <c r="R88" s="517">
        <f t="shared" si="40"/>
        <v>43500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48000</v>
      </c>
      <c r="C91" s="147">
        <v>48000</v>
      </c>
      <c r="D91" s="147"/>
      <c r="E91" s="147">
        <f t="shared" si="39"/>
        <v>48000</v>
      </c>
      <c r="F91" s="147"/>
      <c r="G91" s="147"/>
      <c r="H91" s="147"/>
      <c r="I91" s="147"/>
      <c r="J91" s="147"/>
      <c r="K91" s="147"/>
      <c r="L91" s="147"/>
      <c r="M91" s="147"/>
      <c r="N91" s="147"/>
      <c r="O91" s="147"/>
      <c r="P91" s="147"/>
      <c r="Q91" s="147"/>
      <c r="R91" s="517">
        <f t="shared" si="40"/>
        <v>48000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1161630</v>
      </c>
      <c r="C96" s="146">
        <f t="shared" ref="C96:R96" si="45">SUM(C83:C95)</f>
        <v>1161630</v>
      </c>
      <c r="D96" s="146">
        <f t="shared" si="45"/>
        <v>0</v>
      </c>
      <c r="E96" s="146">
        <f t="shared" si="45"/>
        <v>1161630</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1161630</v>
      </c>
      <c r="S96" s="150">
        <f>SUM(S84:S87,S89:S95)</f>
        <v>975609</v>
      </c>
      <c r="T96" s="146">
        <f>SUM(T84:T87,T89:T95)</f>
        <v>0</v>
      </c>
      <c r="U96" s="143"/>
    </row>
    <row r="97" spans="1:21" s="144" customFormat="1" ht="12">
      <c r="A97" s="149" t="s">
        <v>775</v>
      </c>
      <c r="B97" s="146">
        <f>SUM(C97:D97)</f>
        <v>31245718</v>
      </c>
      <c r="C97" s="146">
        <f t="shared" ref="C97:R97" si="46">SUM(C63+C70+C77+C81+C96)</f>
        <v>31245718</v>
      </c>
      <c r="D97" s="146">
        <f t="shared" si="46"/>
        <v>0</v>
      </c>
      <c r="E97" s="146">
        <f t="shared" si="46"/>
        <v>9234385</v>
      </c>
      <c r="F97" s="146">
        <f t="shared" si="46"/>
        <v>17776000</v>
      </c>
      <c r="G97" s="146">
        <f t="shared" si="46"/>
        <v>0</v>
      </c>
      <c r="H97" s="146">
        <f t="shared" si="46"/>
        <v>4235333</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31245718</v>
      </c>
      <c r="S97" s="146">
        <f>SUM(S63+S70+S81+S96)</f>
        <v>23617814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3542672</v>
      </c>
      <c r="C99" s="980">
        <v>3542672</v>
      </c>
      <c r="D99" s="980"/>
      <c r="E99" s="980">
        <f t="shared" ref="E99:E103" si="47">C99-SUM(F99:Q99)</f>
        <v>2486906</v>
      </c>
      <c r="F99" s="147"/>
      <c r="G99" s="147"/>
      <c r="H99" s="147"/>
      <c r="I99" s="147">
        <f>Application!AO630</f>
        <v>1055766</v>
      </c>
      <c r="J99" s="147"/>
      <c r="K99" s="147"/>
      <c r="L99" s="147"/>
      <c r="M99" s="147"/>
      <c r="N99" s="147"/>
      <c r="O99" s="147"/>
      <c r="P99" s="147"/>
      <c r="Q99" s="147"/>
      <c r="R99" s="517">
        <f>SUM(E99:Q99)</f>
        <v>3542672</v>
      </c>
      <c r="S99" s="147">
        <f t="shared" ref="S99" si="48">C99</f>
        <v>3542672</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3542672</v>
      </c>
      <c r="C104" s="146">
        <f>SUM(C99:C103)</f>
        <v>3542672</v>
      </c>
      <c r="D104" s="146">
        <f t="shared" ref="D104:T104" si="49">SUM(D99:D103)</f>
        <v>0</v>
      </c>
      <c r="E104" s="146">
        <f t="shared" si="49"/>
        <v>2486906</v>
      </c>
      <c r="F104" s="146">
        <f t="shared" si="49"/>
        <v>0</v>
      </c>
      <c r="G104" s="146">
        <f t="shared" si="49"/>
        <v>0</v>
      </c>
      <c r="H104" s="146">
        <f t="shared" si="49"/>
        <v>0</v>
      </c>
      <c r="I104" s="146">
        <f t="shared" si="49"/>
        <v>1055766</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3542672</v>
      </c>
      <c r="S104" s="150">
        <f t="shared" si="49"/>
        <v>3542672</v>
      </c>
      <c r="T104" s="150">
        <f t="shared" si="49"/>
        <v>0</v>
      </c>
      <c r="U104" s="143"/>
    </row>
    <row r="105" spans="1:21" s="144" customFormat="1" ht="12">
      <c r="A105" s="149" t="s">
        <v>780</v>
      </c>
      <c r="B105" s="150">
        <f>SUM(C105:D105)</f>
        <v>34788390</v>
      </c>
      <c r="C105" s="150">
        <f t="shared" ref="C105:R105" si="50">SUM(C97+C104)</f>
        <v>34788390</v>
      </c>
      <c r="D105" s="150">
        <f t="shared" si="50"/>
        <v>0</v>
      </c>
      <c r="E105" s="150">
        <f t="shared" si="50"/>
        <v>11721291</v>
      </c>
      <c r="F105" s="150">
        <f t="shared" si="50"/>
        <v>17776000</v>
      </c>
      <c r="G105" s="150">
        <f t="shared" si="50"/>
        <v>0</v>
      </c>
      <c r="H105" s="150">
        <f t="shared" si="50"/>
        <v>4235333</v>
      </c>
      <c r="I105" s="150">
        <f t="shared" si="50"/>
        <v>1055766</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34788390</v>
      </c>
      <c r="S105" s="150">
        <f>S97+S104</f>
        <v>27160486</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27160486</v>
      </c>
      <c r="T107" s="150">
        <f>T105+T106</f>
        <v>0</v>
      </c>
    </row>
    <row r="108" spans="1:21" s="189" customFormat="1" ht="12">
      <c r="A108" s="162" t="s">
        <v>879</v>
      </c>
      <c r="B108" s="157"/>
      <c r="C108" s="157"/>
      <c r="D108" s="157"/>
      <c r="E108" s="302">
        <f>Application!AO640</f>
        <v>11721291</v>
      </c>
      <c r="F108" s="302">
        <f>Application!AO627</f>
        <v>17776000</v>
      </c>
      <c r="G108" s="302">
        <f>Application!AO628</f>
        <v>0</v>
      </c>
      <c r="H108" s="302">
        <f>Application!AO629</f>
        <v>4235333</v>
      </c>
      <c r="I108" s="302">
        <f>Application!AO630</f>
        <v>1055766</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7" t="s">
        <v>1224</v>
      </c>
      <c r="E123" s="1786"/>
      <c r="F123" s="1786"/>
      <c r="G123" s="1786"/>
      <c r="H123" s="1786"/>
      <c r="I123" s="1786"/>
      <c r="J123" s="1786"/>
      <c r="K123" s="1786"/>
      <c r="L123" s="1786"/>
      <c r="M123" s="1786"/>
      <c r="N123" s="1786"/>
      <c r="O123" s="1786"/>
      <c r="P123" s="1786"/>
      <c r="Q123" s="1786"/>
      <c r="R123" s="1786"/>
      <c r="S123" s="1786"/>
      <c r="T123" s="325"/>
      <c r="U123" s="327"/>
    </row>
    <row r="124" spans="1:21" ht="13.2">
      <c r="A124" s="117" t="s">
        <v>992</v>
      </c>
      <c r="B124" s="334"/>
      <c r="C124" s="117"/>
      <c r="D124" s="1786"/>
      <c r="E124" s="1786"/>
      <c r="F124" s="1786"/>
      <c r="G124" s="1786"/>
      <c r="H124" s="1786"/>
      <c r="I124" s="1786"/>
      <c r="J124" s="1786"/>
      <c r="K124" s="1786"/>
      <c r="L124" s="1786"/>
      <c r="M124" s="1786"/>
      <c r="N124" s="1786"/>
      <c r="O124" s="1786"/>
      <c r="P124" s="1786"/>
      <c r="Q124" s="1786"/>
      <c r="R124" s="1786"/>
      <c r="S124" s="1786"/>
      <c r="T124" s="325"/>
      <c r="U124" s="327"/>
    </row>
    <row r="125" spans="1:21" ht="13.2">
      <c r="A125" s="117" t="s">
        <v>993</v>
      </c>
      <c r="B125" s="334"/>
      <c r="C125" s="117"/>
      <c r="D125" s="1786"/>
      <c r="E125" s="1786"/>
      <c r="F125" s="1786"/>
      <c r="G125" s="1786"/>
      <c r="H125" s="1786"/>
      <c r="I125" s="1786"/>
      <c r="J125" s="1786"/>
      <c r="K125" s="1786"/>
      <c r="L125" s="1786"/>
      <c r="M125" s="1786"/>
      <c r="N125" s="1786"/>
      <c r="O125" s="1786"/>
      <c r="P125" s="1786"/>
      <c r="Q125" s="1786"/>
      <c r="R125" s="1786"/>
      <c r="S125" s="1786"/>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2"/>
      <c r="E128" s="1862"/>
      <c r="F128" s="1862"/>
      <c r="G128" s="1862"/>
      <c r="H128" s="1862"/>
      <c r="I128" s="117"/>
      <c r="J128" s="1863"/>
      <c r="K128" s="1863"/>
      <c r="L128" s="117"/>
      <c r="M128" s="117"/>
      <c r="N128" s="117"/>
      <c r="O128" s="117"/>
      <c r="P128" s="117"/>
      <c r="Q128" s="117"/>
      <c r="R128" s="117"/>
      <c r="S128" s="117"/>
      <c r="T128" s="325"/>
      <c r="U128" s="327"/>
    </row>
    <row r="129" spans="1:21" ht="13.2">
      <c r="A129" s="117" t="s">
        <v>299</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8" t="s">
        <v>1000</v>
      </c>
      <c r="E132" s="1868"/>
      <c r="F132" s="1868"/>
      <c r="G132" s="1868"/>
      <c r="H132" s="1868"/>
      <c r="I132" s="117"/>
      <c r="J132" s="1868" t="s">
        <v>1001</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62"/>
      <c r="C138" s="1862"/>
      <c r="D138" s="329"/>
      <c r="E138" s="1863"/>
      <c r="F138" s="1863"/>
      <c r="G138" s="117"/>
      <c r="H138" s="117"/>
      <c r="I138" s="117"/>
      <c r="J138" s="117"/>
      <c r="K138" s="117"/>
      <c r="L138" s="117"/>
      <c r="M138" s="117"/>
      <c r="N138" s="117"/>
      <c r="O138" s="117"/>
      <c r="P138" s="117"/>
      <c r="Q138" s="117"/>
      <c r="R138" s="117"/>
      <c r="S138" s="117"/>
      <c r="T138" s="331"/>
      <c r="U138" s="332"/>
    </row>
    <row r="139" spans="1:21" ht="13.2">
      <c r="A139" s="1866" t="s">
        <v>1004</v>
      </c>
      <c r="B139" s="1866"/>
      <c r="C139" s="1866"/>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4500000</v>
      </c>
      <c r="C4" s="363"/>
      <c r="D4" s="363"/>
      <c r="E4" s="364"/>
      <c r="F4" s="364"/>
      <c r="G4" s="364"/>
      <c r="H4" s="364"/>
      <c r="I4" s="364"/>
      <c r="J4" s="364"/>
      <c r="K4" s="360"/>
    </row>
    <row r="5" spans="1:11" s="361" customFormat="1" ht="11.4">
      <c r="A5" s="365" t="s">
        <v>28</v>
      </c>
      <c r="B5" s="362">
        <f>'Sources and Uses Budget'!C5</f>
        <v>52000</v>
      </c>
      <c r="C5" s="363"/>
      <c r="D5" s="363"/>
      <c r="E5" s="364"/>
      <c r="F5" s="364"/>
      <c r="G5" s="364"/>
      <c r="H5" s="364"/>
      <c r="I5" s="364"/>
      <c r="J5" s="364"/>
      <c r="K5" s="360"/>
    </row>
    <row r="6" spans="1:11" s="361" customFormat="1" ht="11.4">
      <c r="A6" s="365" t="s">
        <v>29</v>
      </c>
      <c r="B6" s="362">
        <f>'Sources and Uses Budget'!C6</f>
        <v>35250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4587250</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4587250</v>
      </c>
      <c r="C12" s="362">
        <f>SUM(C8+C11)</f>
        <v>0</v>
      </c>
      <c r="D12" s="362">
        <f>SUM(D8+D11)</f>
        <v>0</v>
      </c>
      <c r="E12" s="364"/>
      <c r="F12" s="364"/>
      <c r="G12" s="364"/>
      <c r="H12" s="364"/>
      <c r="I12" s="364"/>
      <c r="J12" s="364"/>
      <c r="K12" s="360"/>
    </row>
    <row r="13" spans="1:11" s="361" customFormat="1" ht="11.4">
      <c r="A13" s="367" t="s">
        <v>902</v>
      </c>
      <c r="B13" s="362">
        <f>'Sources and Uses Budget'!C13</f>
        <v>735333</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210000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262646</v>
      </c>
      <c r="C29" s="363"/>
      <c r="D29" s="363"/>
      <c r="E29" s="362">
        <f>'Sources and Uses Budget'!S29</f>
        <v>262646</v>
      </c>
      <c r="F29" s="363"/>
      <c r="G29" s="363"/>
      <c r="H29" s="362">
        <f>'Sources and Uses Budget'!T29</f>
        <v>0</v>
      </c>
      <c r="I29" s="363"/>
      <c r="J29" s="363"/>
      <c r="K29" s="360"/>
    </row>
    <row r="30" spans="1:11" s="361" customFormat="1" ht="11.4">
      <c r="A30" s="145" t="s">
        <v>599</v>
      </c>
      <c r="B30" s="362">
        <f>'Sources and Uses Budget'!C30</f>
        <v>15708604</v>
      </c>
      <c r="C30" s="363"/>
      <c r="D30" s="363"/>
      <c r="E30" s="362">
        <f>'Sources and Uses Budget'!S30</f>
        <v>15708604</v>
      </c>
      <c r="F30" s="363"/>
      <c r="G30" s="363"/>
      <c r="H30" s="362">
        <f>'Sources and Uses Budget'!T30</f>
        <v>0</v>
      </c>
      <c r="I30" s="363"/>
      <c r="J30" s="363"/>
      <c r="K30" s="360"/>
    </row>
    <row r="31" spans="1:11" s="361" customFormat="1" ht="11.4">
      <c r="A31" s="145" t="s">
        <v>600</v>
      </c>
      <c r="B31" s="362">
        <f>'Sources and Uses Budget'!C31</f>
        <v>800000</v>
      </c>
      <c r="C31" s="363"/>
      <c r="D31" s="363"/>
      <c r="E31" s="362">
        <f>'Sources and Uses Budget'!S31</f>
        <v>800000</v>
      </c>
      <c r="F31" s="363"/>
      <c r="G31" s="363"/>
      <c r="H31" s="362">
        <f>'Sources and Uses Budget'!T31</f>
        <v>0</v>
      </c>
      <c r="I31" s="363"/>
      <c r="J31" s="363"/>
      <c r="K31" s="360"/>
    </row>
    <row r="32" spans="1:11" s="361" customFormat="1" ht="11.4">
      <c r="A32" s="145" t="s">
        <v>137</v>
      </c>
      <c r="B32" s="362">
        <f>'Sources and Uses Budget'!C32</f>
        <v>650000</v>
      </c>
      <c r="C32" s="363"/>
      <c r="D32" s="363"/>
      <c r="E32" s="362">
        <f>'Sources and Uses Budget'!S32</f>
        <v>650000</v>
      </c>
      <c r="F32" s="363"/>
      <c r="G32" s="363"/>
      <c r="H32" s="362">
        <f>'Sources and Uses Budget'!T32</f>
        <v>0</v>
      </c>
      <c r="I32" s="363"/>
      <c r="J32" s="363"/>
      <c r="K32" s="360"/>
    </row>
    <row r="33" spans="1:11" s="361" customFormat="1" ht="11.4">
      <c r="A33" s="145" t="s">
        <v>138</v>
      </c>
      <c r="B33" s="362">
        <f>'Sources and Uses Budget'!C33</f>
        <v>669471</v>
      </c>
      <c r="C33" s="363"/>
      <c r="D33" s="363"/>
      <c r="E33" s="362">
        <f>'Sources and Uses Budget'!S33</f>
        <v>669471</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164934</v>
      </c>
      <c r="C35" s="363"/>
      <c r="D35" s="363"/>
      <c r="E35" s="362">
        <f>'Sources and Uses Budget'!S35</f>
        <v>164934</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18255655</v>
      </c>
      <c r="C38" s="362">
        <f>SUM(C29:C37)</f>
        <v>0</v>
      </c>
      <c r="D38" s="362">
        <f>SUM(D29:D37)</f>
        <v>0</v>
      </c>
      <c r="E38" s="362">
        <f>'Sources and Uses Budget'!S38</f>
        <v>18255655</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139600</v>
      </c>
      <c r="C40" s="363"/>
      <c r="D40" s="363"/>
      <c r="E40" s="362">
        <f>'Sources and Uses Budget'!S40</f>
        <v>139600</v>
      </c>
      <c r="F40" s="363"/>
      <c r="G40" s="363"/>
      <c r="H40" s="362">
        <f>'Sources and Uses Budget'!T40</f>
        <v>0</v>
      </c>
      <c r="I40" s="363"/>
      <c r="J40" s="363"/>
      <c r="K40" s="360"/>
    </row>
    <row r="41" spans="1:11" s="361" customFormat="1" ht="11.4">
      <c r="A41" s="365" t="s">
        <v>146</v>
      </c>
      <c r="B41" s="362">
        <f>'Sources and Uses Budget'!C41</f>
        <v>10000</v>
      </c>
      <c r="C41" s="363"/>
      <c r="D41" s="363"/>
      <c r="E41" s="362">
        <f>'Sources and Uses Budget'!S41</f>
        <v>10000</v>
      </c>
      <c r="F41" s="363"/>
      <c r="G41" s="363"/>
      <c r="H41" s="362">
        <f>'Sources and Uses Budget'!T41</f>
        <v>0</v>
      </c>
      <c r="I41" s="363"/>
      <c r="J41" s="363"/>
      <c r="K41" s="360"/>
    </row>
    <row r="42" spans="1:11" s="361" customFormat="1">
      <c r="A42" s="366" t="s">
        <v>147</v>
      </c>
      <c r="B42" s="362">
        <f>'Sources and Uses Budget'!C42</f>
        <v>149600</v>
      </c>
      <c r="C42" s="362">
        <f>SUM(C39:C41)</f>
        <v>0</v>
      </c>
      <c r="D42" s="362">
        <f>SUM(D39:D41)</f>
        <v>0</v>
      </c>
      <c r="E42" s="362">
        <f>'Sources and Uses Budget'!S42</f>
        <v>149600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719525</v>
      </c>
      <c r="C43" s="363"/>
      <c r="D43" s="363"/>
      <c r="E43" s="362">
        <f>'Sources and Uses Budget'!S43</f>
        <v>719525</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2277000</v>
      </c>
      <c r="C45" s="363"/>
      <c r="D45" s="363"/>
      <c r="E45" s="362">
        <f>'Sources and Uses Budget'!S45</f>
        <v>1367000</v>
      </c>
      <c r="F45" s="363"/>
      <c r="G45" s="363"/>
      <c r="H45" s="362">
        <f>'Sources and Uses Budget'!T45</f>
        <v>0</v>
      </c>
      <c r="I45" s="363"/>
      <c r="J45" s="363"/>
      <c r="K45" s="360"/>
    </row>
    <row r="46" spans="1:11" s="361" customFormat="1" ht="11.4">
      <c r="A46" s="365" t="s">
        <v>151</v>
      </c>
      <c r="B46" s="362">
        <f>'Sources and Uses Budget'!C46</f>
        <v>257350</v>
      </c>
      <c r="C46" s="363"/>
      <c r="D46" s="363"/>
      <c r="E46" s="362">
        <f>'Sources and Uses Budget'!S46</f>
        <v>257350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ht="11.4">
      <c r="A51" s="365" t="s">
        <v>154</v>
      </c>
      <c r="B51" s="362">
        <f>'Sources and Uses Budget'!C51</f>
        <v>48081</v>
      </c>
      <c r="C51" s="363"/>
      <c r="D51" s="363"/>
      <c r="E51" s="362">
        <f>'Sources and Uses Budget'!S51</f>
        <v>48081</v>
      </c>
      <c r="F51" s="363"/>
      <c r="G51" s="363"/>
      <c r="H51" s="362">
        <f>'Sources and Uses Budget'!T51</f>
        <v>0</v>
      </c>
      <c r="I51" s="363"/>
      <c r="J51" s="363"/>
      <c r="K51" s="360"/>
    </row>
    <row r="52" spans="1:11" s="361" customFormat="1" ht="11.4">
      <c r="A52" s="365" t="s">
        <v>155</v>
      </c>
      <c r="B52" s="362">
        <f>'Sources and Uses Budget'!C52</f>
        <v>346958</v>
      </c>
      <c r="C52" s="363"/>
      <c r="D52" s="363"/>
      <c r="E52" s="362">
        <f>'Sources and Uses Budget'!S52</f>
        <v>346958</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3050389</v>
      </c>
      <c r="C54" s="368">
        <f>SUM(C45:C53)</f>
        <v>0</v>
      </c>
      <c r="D54" s="368">
        <f>SUM(D45:D53)</f>
        <v>0</v>
      </c>
      <c r="E54" s="362">
        <f>'Sources and Uses Budget'!S54</f>
        <v>2140389</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433369</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433369</v>
      </c>
      <c r="C62" s="362">
        <f>SUM(C56:C61)</f>
        <v>0</v>
      </c>
      <c r="D62" s="362">
        <f>SUM(D56:D61)</f>
        <v>0</v>
      </c>
      <c r="E62" s="364"/>
      <c r="F62" s="364"/>
      <c r="G62" s="364"/>
      <c r="H62" s="364"/>
      <c r="I62" s="364"/>
      <c r="J62" s="364"/>
      <c r="K62" s="360"/>
    </row>
    <row r="63" spans="1:11" s="361" customFormat="1" ht="11.4">
      <c r="A63" s="371" t="s">
        <v>301</v>
      </c>
      <c r="B63" s="362">
        <f>'Sources and Uses Budget'!C63</f>
        <v>28141121</v>
      </c>
      <c r="C63" s="362">
        <f>SUM(C8+C11+C13+C14+C15+C26+C27+C38+C42+C43+C54+C62)</f>
        <v>0</v>
      </c>
      <c r="D63" s="362">
        <f>SUM(D8+D11+D13+D14+D15+D26+D27+D38+D42+D43+D54+D62)</f>
        <v>0</v>
      </c>
      <c r="E63" s="362">
        <f>'Sources and Uses Budget'!S63</f>
        <v>21265169</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465931</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465931</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915383</v>
      </c>
      <c r="C79" s="363"/>
      <c r="D79" s="363"/>
      <c r="E79" s="362">
        <f>'Sources and Uses Budget'!S79</f>
        <v>915383</v>
      </c>
      <c r="F79" s="363"/>
      <c r="G79" s="363"/>
      <c r="H79" s="362">
        <f>'Sources and Uses Budget'!T79</f>
        <v>0</v>
      </c>
      <c r="I79" s="363"/>
      <c r="J79" s="363"/>
      <c r="K79" s="360"/>
    </row>
    <row r="80" spans="1:11" s="361" customFormat="1" ht="11.4">
      <c r="A80" s="365" t="s">
        <v>58</v>
      </c>
      <c r="B80" s="362">
        <f>'Sources and Uses Budget'!C80</f>
        <v>311653</v>
      </c>
      <c r="C80" s="363"/>
      <c r="D80" s="363"/>
      <c r="E80" s="362">
        <f>'Sources and Uses Budget'!S80</f>
        <v>311653</v>
      </c>
      <c r="F80" s="363"/>
      <c r="G80" s="363"/>
      <c r="H80" s="362">
        <f>'Sources and Uses Budget'!T80</f>
        <v>0</v>
      </c>
      <c r="I80" s="363"/>
      <c r="J80" s="363"/>
      <c r="K80" s="360"/>
    </row>
    <row r="81" spans="1:11" s="361" customFormat="1">
      <c r="A81" s="366" t="s">
        <v>1209</v>
      </c>
      <c r="B81" s="362">
        <f>'Sources and Uses Budget'!C81</f>
        <v>1227036</v>
      </c>
      <c r="C81" s="362">
        <f>SUM(C79:C80)</f>
        <v>0</v>
      </c>
      <c r="D81" s="362">
        <f>SUM(D79:D80)</f>
        <v>0</v>
      </c>
      <c r="E81" s="362">
        <f>'Sources and Uses Budget'!S81</f>
        <v>1227036</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87021</v>
      </c>
      <c r="C83" s="363"/>
      <c r="D83" s="363"/>
      <c r="E83" s="364"/>
      <c r="F83" s="364"/>
      <c r="G83" s="364"/>
      <c r="H83" s="364"/>
      <c r="I83" s="364"/>
      <c r="J83" s="364"/>
      <c r="K83" s="360"/>
    </row>
    <row r="84" spans="1:11" s="361" customFormat="1" ht="11.4">
      <c r="A84" s="145" t="s">
        <v>767</v>
      </c>
      <c r="B84" s="362">
        <f>'Sources and Uses Budget'!C84</f>
        <v>33000</v>
      </c>
      <c r="C84" s="363"/>
      <c r="D84" s="363"/>
      <c r="E84" s="362">
        <f>'Sources and Uses Budget'!S84</f>
        <v>33000</v>
      </c>
      <c r="F84" s="363"/>
      <c r="G84" s="363"/>
      <c r="H84" s="362">
        <f>'Sources and Uses Budget'!T84</f>
        <v>0</v>
      </c>
      <c r="I84" s="363"/>
      <c r="J84" s="363"/>
      <c r="K84" s="360"/>
    </row>
    <row r="85" spans="1:11" s="361" customFormat="1" ht="11.4">
      <c r="A85" s="145" t="s">
        <v>768</v>
      </c>
      <c r="B85" s="362">
        <f>'Sources and Uses Budget'!C85</f>
        <v>419477</v>
      </c>
      <c r="C85" s="363"/>
      <c r="D85" s="363"/>
      <c r="E85" s="362">
        <f>'Sources and Uses Budget'!S85</f>
        <v>419477</v>
      </c>
      <c r="F85" s="363"/>
      <c r="G85" s="363"/>
      <c r="H85" s="362">
        <f>'Sources and Uses Budget'!T85</f>
        <v>0</v>
      </c>
      <c r="I85" s="363"/>
      <c r="J85" s="363"/>
      <c r="K85" s="360"/>
    </row>
    <row r="86" spans="1:11" s="361" customFormat="1" ht="11.4">
      <c r="A86" s="145" t="s">
        <v>769</v>
      </c>
      <c r="B86" s="362">
        <f>'Sources and Uses Budget'!C86</f>
        <v>475132</v>
      </c>
      <c r="C86" s="363"/>
      <c r="D86" s="363"/>
      <c r="E86" s="362">
        <f>'Sources and Uses Budget'!S86</f>
        <v>475132</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43500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48000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1161630</v>
      </c>
      <c r="C96" s="362">
        <f>SUM(C83:C95)</f>
        <v>0</v>
      </c>
      <c r="D96" s="362">
        <f>SUM(D83:D95)</f>
        <v>0</v>
      </c>
      <c r="E96" s="362">
        <f>'Sources and Uses Budget'!S96</f>
        <v>975609</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31245718</v>
      </c>
      <c r="C97" s="362">
        <f>SUM(C63+C70+C77+C81+C96)</f>
        <v>0</v>
      </c>
      <c r="D97" s="362">
        <f>SUM(D63+D70+D77+D81+D96)</f>
        <v>0</v>
      </c>
      <c r="E97" s="362">
        <f>'Sources and Uses Budget'!S97</f>
        <v>23617814</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3542672</v>
      </c>
      <c r="C99" s="363"/>
      <c r="D99" s="363"/>
      <c r="E99" s="362">
        <f>'Sources and Uses Budget'!S99</f>
        <v>3542672</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3542672</v>
      </c>
      <c r="C104" s="362">
        <f>SUM(C99:C103)</f>
        <v>0</v>
      </c>
      <c r="D104" s="362">
        <f>SUM(D99:D103)</f>
        <v>0</v>
      </c>
      <c r="E104" s="362">
        <f>'Sources and Uses Budget'!S104</f>
        <v>3542672</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34788390</v>
      </c>
      <c r="C105" s="368">
        <f>SUM(C97+C104)</f>
        <v>0</v>
      </c>
      <c r="D105" s="368">
        <f>SUM(D97+D104)</f>
        <v>0</v>
      </c>
      <c r="E105" s="362">
        <f>'Sources and Uses Budget'!S105</f>
        <v>27160486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27160486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5"/>
      <c r="F124" s="1315"/>
      <c r="G124" s="1315"/>
      <c r="H124" s="1315"/>
      <c r="I124" s="1315"/>
      <c r="J124" s="377"/>
      <c r="K124" s="360"/>
    </row>
    <row r="125" spans="1:11" s="361" customFormat="1" ht="13.2">
      <c r="A125" s="386"/>
      <c r="B125" s="385"/>
      <c r="C125" s="386"/>
      <c r="D125" s="1315"/>
      <c r="E125" s="1315"/>
      <c r="F125" s="1315"/>
      <c r="G125" s="1315"/>
      <c r="H125" s="1315"/>
      <c r="I125" s="1315"/>
      <c r="J125" s="377"/>
      <c r="K125" s="360"/>
    </row>
    <row r="126" spans="1:11" s="361" customFormat="1" ht="13.2">
      <c r="A126" s="386"/>
      <c r="B126" s="385"/>
      <c r="C126" s="386"/>
      <c r="D126" s="1315"/>
      <c r="E126" s="1315"/>
      <c r="F126" s="1315"/>
      <c r="G126" s="1315"/>
      <c r="H126" s="1315"/>
      <c r="I126" s="1315"/>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2323" t="s">
        <v>2460</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2459</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5" t="str">
        <f>IF(Application!H18="","",Application!H18)</f>
        <v>12432 Moorpark</v>
      </c>
      <c r="M4" s="2316"/>
      <c r="N4" s="2316"/>
      <c r="O4" s="2316"/>
      <c r="P4" s="2316"/>
      <c r="Q4" s="2316"/>
      <c r="R4" s="2316"/>
      <c r="S4" s="2316"/>
      <c r="T4" s="2316"/>
      <c r="U4" s="2316"/>
      <c r="V4" s="2316"/>
      <c r="W4" s="2316"/>
      <c r="X4" s="2316"/>
      <c r="Y4" s="2316"/>
      <c r="Z4" s="2316"/>
      <c r="AA4" s="2316"/>
      <c r="AB4" s="2316"/>
      <c r="AC4" s="2317"/>
      <c r="AD4" s="1192"/>
      <c r="AE4" s="1192"/>
      <c r="AF4" s="2311" t="s">
        <v>2458</v>
      </c>
      <c r="AG4" s="2311"/>
      <c r="AH4" s="2311"/>
      <c r="AI4" s="2311"/>
      <c r="AJ4" s="2311"/>
      <c r="AK4" s="2311"/>
      <c r="AL4" s="2311"/>
      <c r="AM4" s="2311"/>
      <c r="AN4" s="2311"/>
      <c r="AO4" s="2311"/>
      <c r="AP4" s="2312"/>
      <c r="AQ4" s="2313"/>
      <c r="AR4" s="2313"/>
      <c r="AS4" s="2313"/>
      <c r="AT4" s="2313"/>
      <c r="AU4" s="231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1" t="s">
        <v>2457</v>
      </c>
      <c r="AG5" s="2311"/>
      <c r="AH5" s="2311"/>
      <c r="AI5" s="2311"/>
      <c r="AJ5" s="2311"/>
      <c r="AK5" s="2311"/>
      <c r="AL5" s="2311"/>
      <c r="AM5" s="2311"/>
      <c r="AN5" s="2311"/>
      <c r="AO5" s="2311"/>
      <c r="AP5" s="2312"/>
      <c r="AQ5" s="2313"/>
      <c r="AR5" s="2313"/>
      <c r="AS5" s="2313"/>
      <c r="AT5" s="2313"/>
      <c r="AU5" s="2313"/>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5" t="str">
        <f>IF(Application!H16="","",Application!H16)</f>
        <v>HVN Development LLC</v>
      </c>
      <c r="M6" s="2316"/>
      <c r="N6" s="2316"/>
      <c r="O6" s="2316"/>
      <c r="P6" s="2316"/>
      <c r="Q6" s="2316"/>
      <c r="R6" s="2316"/>
      <c r="S6" s="2316"/>
      <c r="T6" s="2316"/>
      <c r="U6" s="2316"/>
      <c r="V6" s="2316"/>
      <c r="W6" s="2316"/>
      <c r="X6" s="2316"/>
      <c r="Y6" s="2316"/>
      <c r="Z6" s="2316"/>
      <c r="AA6" s="2316"/>
      <c r="AB6" s="2316"/>
      <c r="AC6" s="2317"/>
      <c r="AD6" s="1192"/>
      <c r="AE6" s="1192"/>
      <c r="AF6" s="2318" t="s">
        <v>2455</v>
      </c>
      <c r="AG6" s="2318"/>
      <c r="AH6" s="2318"/>
      <c r="AI6" s="2318"/>
      <c r="AJ6" s="2318"/>
      <c r="AK6" s="2318"/>
      <c r="AL6" s="2318"/>
      <c r="AM6" s="2318"/>
      <c r="AN6" s="2318"/>
      <c r="AO6" s="2318"/>
      <c r="AP6" s="2319"/>
      <c r="AQ6" s="2319"/>
      <c r="AR6" s="2319"/>
      <c r="AS6" s="2319"/>
      <c r="AT6" s="2319"/>
      <c r="AU6" s="231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8" t="s">
        <v>2454</v>
      </c>
      <c r="AG7" s="2318"/>
      <c r="AH7" s="2318"/>
      <c r="AI7" s="2318"/>
      <c r="AJ7" s="2318"/>
      <c r="AK7" s="2318"/>
      <c r="AL7" s="2318"/>
      <c r="AM7" s="2318"/>
      <c r="AN7" s="2318"/>
      <c r="AO7" s="2318"/>
      <c r="AP7" s="2319"/>
      <c r="AQ7" s="2319"/>
      <c r="AR7" s="2319"/>
      <c r="AS7" s="2319"/>
      <c r="AT7" s="2319"/>
      <c r="AU7" s="2319"/>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0" t="str">
        <f>Application!T197</f>
        <v>No</v>
      </c>
      <c r="AC8" s="2321"/>
      <c r="AD8" s="2322"/>
      <c r="AE8" s="1192"/>
      <c r="AF8" s="2318" t="s">
        <v>2452</v>
      </c>
      <c r="AG8" s="2318"/>
      <c r="AH8" s="2318"/>
      <c r="AI8" s="2318"/>
      <c r="AJ8" s="2318"/>
      <c r="AK8" s="2318"/>
      <c r="AL8" s="2318"/>
      <c r="AM8" s="2318"/>
      <c r="AN8" s="2318"/>
      <c r="AO8" s="2318"/>
      <c r="AP8" s="2319" t="s">
        <v>2100</v>
      </c>
      <c r="AQ8" s="2319"/>
      <c r="AR8" s="2319"/>
      <c r="AS8" s="2319"/>
      <c r="AT8" s="2319"/>
      <c r="AU8" s="2319"/>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1" t="s">
        <v>2451</v>
      </c>
      <c r="AG9" s="2311"/>
      <c r="AH9" s="2311"/>
      <c r="AI9" s="2311"/>
      <c r="AJ9" s="2311"/>
      <c r="AK9" s="2311"/>
      <c r="AL9" s="2311"/>
      <c r="AM9" s="2311"/>
      <c r="AN9" s="2311"/>
      <c r="AO9" s="2311"/>
      <c r="AP9" s="2312"/>
      <c r="AQ9" s="2313"/>
      <c r="AR9" s="2313"/>
      <c r="AS9" s="2313"/>
      <c r="AT9" s="2313"/>
      <c r="AU9" s="2313"/>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314">
        <f>Application!AO627</f>
        <v>17776000</v>
      </c>
      <c r="O10" s="2314"/>
      <c r="P10" s="2314"/>
      <c r="Q10" s="2314"/>
      <c r="R10" s="2314"/>
      <c r="S10" s="2314"/>
      <c r="T10" s="2314"/>
      <c r="U10" s="1192"/>
      <c r="V10" s="1192"/>
      <c r="W10" s="1192"/>
      <c r="X10" s="1195"/>
      <c r="Y10" s="1195"/>
      <c r="Z10" s="1195"/>
      <c r="AA10" s="1195"/>
      <c r="AB10" s="1195"/>
      <c r="AC10" s="1195"/>
      <c r="AD10" s="1195"/>
      <c r="AE10" s="1195"/>
      <c r="AF10" s="2311" t="s">
        <v>2448</v>
      </c>
      <c r="AG10" s="2311"/>
      <c r="AH10" s="2311"/>
      <c r="AI10" s="2311"/>
      <c r="AJ10" s="2311"/>
      <c r="AK10" s="2311"/>
      <c r="AL10" s="2311"/>
      <c r="AM10" s="2311"/>
      <c r="AN10" s="2311"/>
      <c r="AO10" s="2311"/>
      <c r="AP10" s="2312"/>
      <c r="AQ10" s="2313"/>
      <c r="AR10" s="2313"/>
      <c r="AS10" s="2313"/>
      <c r="AT10" s="2313"/>
      <c r="AU10" s="2313"/>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314">
        <f>Application!AA933</f>
        <v>0</v>
      </c>
      <c r="O11" s="2314"/>
      <c r="P11" s="2314"/>
      <c r="Q11" s="2314"/>
      <c r="R11" s="2314"/>
      <c r="S11" s="2314"/>
      <c r="T11" s="2314"/>
      <c r="U11" s="1192"/>
      <c r="V11" s="1192"/>
      <c r="W11" s="1192"/>
      <c r="X11" s="1195"/>
      <c r="Y11" s="1195"/>
      <c r="Z11" s="1195"/>
      <c r="AA11" s="1195"/>
      <c r="AB11" s="1195"/>
      <c r="AC11" s="1195"/>
      <c r="AD11" s="1195"/>
      <c r="AE11" s="1195"/>
      <c r="AF11" s="2311" t="s">
        <v>2445</v>
      </c>
      <c r="AG11" s="2311"/>
      <c r="AH11" s="2311"/>
      <c r="AI11" s="2311"/>
      <c r="AJ11" s="2311"/>
      <c r="AK11" s="2311"/>
      <c r="AL11" s="2311"/>
      <c r="AM11" s="2311"/>
      <c r="AN11" s="2311"/>
      <c r="AO11" s="2311"/>
      <c r="AP11" s="2312"/>
      <c r="AQ11" s="2313"/>
      <c r="AR11" s="2313"/>
      <c r="AS11" s="2313"/>
      <c r="AT11" s="2313"/>
      <c r="AU11" s="2313"/>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2" t="s">
        <v>2443</v>
      </c>
      <c r="C13" s="2303"/>
      <c r="D13" s="2303"/>
      <c r="E13" s="2303"/>
      <c r="F13" s="2303"/>
      <c r="G13" s="2303"/>
      <c r="H13" s="2303"/>
      <c r="I13" s="2303"/>
      <c r="J13" s="2303"/>
      <c r="K13" s="2303"/>
      <c r="L13" s="2303"/>
      <c r="M13" s="2303"/>
      <c r="N13" s="2303"/>
      <c r="O13" s="2303"/>
      <c r="P13" s="2304"/>
      <c r="Q13" s="2305" t="s">
        <v>669</v>
      </c>
      <c r="R13" s="2306"/>
      <c r="S13" s="2306"/>
      <c r="T13" s="2307"/>
      <c r="U13" s="1195"/>
      <c r="V13" s="1192"/>
      <c r="W13" s="1192"/>
      <c r="X13" s="1192"/>
      <c r="Y13" s="1192"/>
      <c r="Z13" s="1192"/>
      <c r="AA13" s="2292" t="s">
        <v>2442</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0" t="s">
        <v>2440</v>
      </c>
      <c r="AB14" s="2310"/>
      <c r="AC14" s="2310"/>
      <c r="AD14" s="2310"/>
      <c r="AE14" s="2310"/>
      <c r="AF14" s="2310"/>
      <c r="AG14" s="2310"/>
      <c r="AH14" s="2310"/>
      <c r="AI14" s="2310"/>
      <c r="AJ14" s="2310"/>
      <c r="AK14" s="2310"/>
      <c r="AL14" s="2310"/>
      <c r="AM14" s="2310"/>
      <c r="AN14" s="2310"/>
      <c r="AO14" s="2293"/>
      <c r="AP14" s="2294"/>
      <c r="AQ14" s="2294"/>
      <c r="AR14" s="2294"/>
      <c r="AS14" s="2294"/>
      <c r="AT14" s="1195"/>
      <c r="AU14" s="1195"/>
      <c r="AV14" s="1195"/>
      <c r="AW14" s="1195"/>
      <c r="AX14" s="1195"/>
      <c r="AY14" s="1195"/>
      <c r="AZ14" s="1195"/>
      <c r="BA14" s="1195"/>
      <c r="BB14" s="1195"/>
      <c r="BC14" s="1195"/>
      <c r="BD14" s="1195"/>
      <c r="BE14" s="1196"/>
    </row>
    <row r="15" spans="1:65" ht="15" thickBot="1">
      <c r="A15" s="1192"/>
      <c r="B15" s="2287" t="s">
        <v>2439</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5"/>
      <c r="Y15" s="1192"/>
      <c r="Z15" s="1192"/>
      <c r="AA15" s="2292" t="s">
        <v>2438</v>
      </c>
      <c r="AB15" s="2292"/>
      <c r="AC15" s="2292"/>
      <c r="AD15" s="2292"/>
      <c r="AE15" s="2292"/>
      <c r="AF15" s="2292"/>
      <c r="AG15" s="2292"/>
      <c r="AH15" s="2292"/>
      <c r="AI15" s="2292"/>
      <c r="AJ15" s="2292"/>
      <c r="AK15" s="2292"/>
      <c r="AL15" s="2292"/>
      <c r="AM15" s="2292"/>
      <c r="AN15" s="2292"/>
      <c r="AO15" s="2293"/>
      <c r="AP15" s="2294"/>
      <c r="AQ15" s="2294"/>
      <c r="AR15" s="2294"/>
      <c r="AS15" s="229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097" t="s">
        <v>2437</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2"/>
      <c r="BA17" s="1192"/>
      <c r="BB17" s="1192"/>
      <c r="BC17" s="1192"/>
      <c r="BD17" s="1192"/>
      <c r="BE17" s="1196"/>
      <c r="BF17" s="1190"/>
    </row>
    <row r="18" spans="1:58" ht="15.75" customHeight="1">
      <c r="A18" s="1192"/>
      <c r="B18" s="2295" t="s">
        <v>2436</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2435</v>
      </c>
      <c r="AU18" s="2299"/>
      <c r="AV18" s="2299"/>
      <c r="AW18" s="2299"/>
      <c r="AX18" s="2299"/>
      <c r="AY18" s="2301"/>
      <c r="AZ18" s="1192"/>
      <c r="BA18" s="1192"/>
      <c r="BB18" s="1192"/>
      <c r="BC18" s="1192"/>
      <c r="BD18" s="1192"/>
      <c r="BE18" s="1196"/>
    </row>
    <row r="19" spans="1:58" ht="14.4">
      <c r="A19" s="1192"/>
      <c r="B19" s="2281">
        <v>0.3</v>
      </c>
      <c r="C19" s="2282"/>
      <c r="D19" s="2282"/>
      <c r="E19" s="2282"/>
      <c r="F19" s="2282"/>
      <c r="G19" s="2282"/>
      <c r="H19" s="2282"/>
      <c r="I19" s="2283"/>
      <c r="J19" s="2284">
        <f t="shared" ref="J19:J24" si="0">SUM(P19:AS19)</f>
        <v>11</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11</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0.10784313725490197</v>
      </c>
      <c r="AU19" s="2270"/>
      <c r="AV19" s="2270"/>
      <c r="AW19" s="2270"/>
      <c r="AX19" s="2270"/>
      <c r="AY19" s="2271"/>
      <c r="AZ19" s="1197"/>
      <c r="BA19" s="1192"/>
      <c r="BB19" s="1192"/>
      <c r="BC19" s="1192"/>
      <c r="BD19" s="1192"/>
      <c r="BE19" s="1196"/>
    </row>
    <row r="20" spans="1:58" ht="15" customHeight="1">
      <c r="A20" s="1192"/>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2"/>
      <c r="BA20" s="1192"/>
      <c r="BB20" s="1192"/>
      <c r="BC20" s="1192"/>
      <c r="BD20" s="1192"/>
      <c r="BE20" s="1196"/>
    </row>
    <row r="21" spans="1:58" ht="14.4">
      <c r="A21" s="1192"/>
      <c r="B21" s="2281">
        <v>0.5</v>
      </c>
      <c r="C21" s="2282"/>
      <c r="D21" s="2282"/>
      <c r="E21" s="2282"/>
      <c r="F21" s="2282"/>
      <c r="G21" s="2282"/>
      <c r="H21" s="2282"/>
      <c r="I21" s="2283"/>
      <c r="J21" s="2284">
        <f t="shared" si="0"/>
        <v>11</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11</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0.10784313725490197</v>
      </c>
      <c r="AU21" s="2270"/>
      <c r="AV21" s="2270"/>
      <c r="AW21" s="2270"/>
      <c r="AX21" s="2270"/>
      <c r="AY21" s="2271"/>
      <c r="AZ21" s="1192"/>
      <c r="BA21" s="1192"/>
      <c r="BB21" s="1192"/>
      <c r="BC21" s="1192"/>
      <c r="BD21" s="1192"/>
      <c r="BE21" s="1196"/>
    </row>
    <row r="22" spans="1:58" ht="14.4">
      <c r="A22" s="1192"/>
      <c r="B22" s="2281">
        <v>0.6</v>
      </c>
      <c r="C22" s="2282"/>
      <c r="D22" s="2282"/>
      <c r="E22" s="2282"/>
      <c r="F22" s="2282"/>
      <c r="G22" s="2282"/>
      <c r="H22" s="2282"/>
      <c r="I22" s="2283"/>
      <c r="J22" s="2284">
        <f t="shared" si="0"/>
        <v>35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35</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0.34313725490196079</v>
      </c>
      <c r="AU22" s="2270"/>
      <c r="AV22" s="2270"/>
      <c r="AW22" s="2270"/>
      <c r="AX22" s="2270"/>
      <c r="AY22" s="2271"/>
      <c r="AZ22" s="1192"/>
      <c r="BA22" s="1192"/>
      <c r="BB22" s="1192"/>
      <c r="BC22" s="1192"/>
      <c r="BD22" s="1192"/>
      <c r="BE22" s="1196"/>
    </row>
    <row r="23" spans="1:58" ht="14.4">
      <c r="A23" s="1192"/>
      <c r="B23" s="2281">
        <v>0.7</v>
      </c>
      <c r="C23" s="2282"/>
      <c r="D23" s="2282"/>
      <c r="E23" s="2282"/>
      <c r="F23" s="2282"/>
      <c r="G23" s="2282"/>
      <c r="H23" s="2282"/>
      <c r="I23" s="2283"/>
      <c r="J23" s="2284">
        <f t="shared" si="0"/>
        <v>44</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44</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0.43137254901960786</v>
      </c>
      <c r="AU23" s="2270"/>
      <c r="AV23" s="2270"/>
      <c r="AW23" s="2270"/>
      <c r="AX23" s="2270"/>
      <c r="AY23" s="2271"/>
      <c r="AZ23" s="1192"/>
      <c r="BA23" s="1192"/>
      <c r="BB23" s="1192"/>
      <c r="BC23" s="1192"/>
      <c r="BD23" s="1192"/>
      <c r="BE23" s="1196"/>
    </row>
    <row r="24" spans="1:58" ht="14.4">
      <c r="A24" s="1192"/>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2"/>
      <c r="BA24" s="1192"/>
      <c r="BB24" s="1192"/>
      <c r="BC24" s="1192"/>
      <c r="BD24" s="1192"/>
      <c r="BE24" s="1196"/>
    </row>
    <row r="25" spans="1:58" ht="14.4">
      <c r="A25" s="1192"/>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2"/>
      <c r="BA25" s="1192"/>
      <c r="BB25" s="1192"/>
      <c r="BC25" s="1192"/>
      <c r="BD25" s="1192"/>
      <c r="BE25" s="1196"/>
    </row>
    <row r="26" spans="1:58" ht="14.4">
      <c r="A26" s="1192"/>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2"/>
      <c r="BA26" s="1192"/>
      <c r="BB26" s="1192"/>
      <c r="BC26" s="1192"/>
      <c r="BD26" s="1192"/>
      <c r="BE26" s="1196"/>
    </row>
    <row r="27" spans="1:58" ht="14.4">
      <c r="A27" s="1192"/>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2"/>
      <c r="BA27" s="1192"/>
      <c r="BB27" s="1192"/>
      <c r="BC27" s="1192"/>
      <c r="BD27" s="1192"/>
      <c r="BE27" s="1196"/>
    </row>
    <row r="28" spans="1:58" ht="15" thickBot="1">
      <c r="A28" s="1192"/>
      <c r="B28" s="2272" t="s">
        <v>2434</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9.8039215686274508E-3</v>
      </c>
      <c r="AU28" s="2279"/>
      <c r="AV28" s="2279"/>
      <c r="AW28" s="2279"/>
      <c r="AX28" s="2279"/>
      <c r="AY28" s="2280"/>
      <c r="AZ28" s="1192"/>
      <c r="BA28" s="1192"/>
      <c r="BB28" s="1192"/>
      <c r="BC28" s="1192"/>
      <c r="BD28" s="1192"/>
      <c r="BE28" s="1196"/>
    </row>
    <row r="29" spans="1:58" ht="15" thickBot="1">
      <c r="A29" s="1192"/>
      <c r="B29" s="2255" t="s">
        <v>1586</v>
      </c>
      <c r="C29" s="2228"/>
      <c r="D29" s="2228"/>
      <c r="E29" s="2228"/>
      <c r="F29" s="2228"/>
      <c r="G29" s="2228"/>
      <c r="H29" s="2228"/>
      <c r="I29" s="2229"/>
      <c r="J29" s="2227">
        <f>SUM(J19:O28)</f>
        <v>102</v>
      </c>
      <c r="K29" s="2228"/>
      <c r="L29" s="2228"/>
      <c r="M29" s="2228"/>
      <c r="N29" s="2228"/>
      <c r="O29" s="2229"/>
      <c r="P29" s="2227">
        <f>SUM(P19:U28)</f>
        <v>0</v>
      </c>
      <c r="Q29" s="2228"/>
      <c r="R29" s="2228"/>
      <c r="S29" s="2228"/>
      <c r="T29" s="2228"/>
      <c r="U29" s="2229"/>
      <c r="V29" s="2227">
        <f>SUM(V19:AA28)</f>
        <v>0</v>
      </c>
      <c r="W29" s="2228"/>
      <c r="X29" s="2228"/>
      <c r="Y29" s="2228"/>
      <c r="Z29" s="2228"/>
      <c r="AA29" s="2229"/>
      <c r="AB29" s="2227">
        <f>SUM(AB19:AG28)</f>
        <v>102</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3" t="s">
        <v>2433</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6"/>
    </row>
    <row r="32" spans="1:58" ht="15" thickBot="1">
      <c r="A32" s="1192"/>
      <c r="B32" s="2236" t="s">
        <v>2432</v>
      </c>
      <c r="C32" s="2237"/>
      <c r="D32" s="2237"/>
      <c r="E32" s="2237"/>
      <c r="F32" s="2237"/>
      <c r="G32" s="2237"/>
      <c r="H32" s="2237"/>
      <c r="I32" s="2237"/>
      <c r="J32" s="2240" t="s">
        <v>2431</v>
      </c>
      <c r="K32" s="2241"/>
      <c r="L32" s="2241"/>
      <c r="M32" s="2241"/>
      <c r="N32" s="2240" t="s">
        <v>2430</v>
      </c>
      <c r="O32" s="2241"/>
      <c r="P32" s="2241"/>
      <c r="Q32" s="2243"/>
      <c r="R32" s="2245" t="s">
        <v>2429</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6"/>
    </row>
    <row r="33" spans="1:58" ht="15" customHeight="1">
      <c r="A33" s="1192"/>
      <c r="B33" s="2238"/>
      <c r="C33" s="2239"/>
      <c r="D33" s="2239"/>
      <c r="E33" s="2239"/>
      <c r="F33" s="2239"/>
      <c r="G33" s="2239"/>
      <c r="H33" s="2239"/>
      <c r="I33" s="2239"/>
      <c r="J33" s="2242"/>
      <c r="K33" s="2242"/>
      <c r="L33" s="2242"/>
      <c r="M33" s="2242"/>
      <c r="N33" s="2242"/>
      <c r="O33" s="2242"/>
      <c r="P33" s="2242"/>
      <c r="Q33" s="2244"/>
      <c r="R33" s="2248" t="s">
        <v>2428</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6"/>
    </row>
    <row r="34" spans="1:58" ht="15.75" customHeight="1" thickBot="1">
      <c r="A34" s="1192"/>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6"/>
    </row>
    <row r="35" spans="1:58" ht="15.75" customHeight="1">
      <c r="A35" s="1192"/>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2427</v>
      </c>
      <c r="AT35" s="2257"/>
      <c r="AU35" s="2257"/>
      <c r="AV35" s="2257"/>
      <c r="AW35" s="2257"/>
      <c r="AX35" s="2265"/>
      <c r="AY35" s="2256" t="s">
        <v>2426</v>
      </c>
      <c r="AZ35" s="2257"/>
      <c r="BA35" s="2257"/>
      <c r="BB35" s="2257"/>
      <c r="BC35" s="2257"/>
      <c r="BD35" s="2258"/>
      <c r="BE35" s="1196"/>
    </row>
    <row r="36" spans="1:58" ht="15.75" customHeight="1">
      <c r="A36" s="1192"/>
      <c r="B36" s="2160" t="s">
        <v>2425</v>
      </c>
      <c r="C36" s="2161"/>
      <c r="D36" s="2161"/>
      <c r="E36" s="2161"/>
      <c r="F36" s="2161"/>
      <c r="G36" s="2161"/>
      <c r="H36" s="2161"/>
      <c r="I36" s="2161"/>
      <c r="J36" s="2225" t="s">
        <v>2424</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6"/>
    </row>
    <row r="37" spans="1:58" ht="15.75" customHeight="1">
      <c r="A37" s="1192"/>
      <c r="B37" s="2160" t="s">
        <v>2423</v>
      </c>
      <c r="C37" s="2161"/>
      <c r="D37" s="2161"/>
      <c r="E37" s="2161"/>
      <c r="F37" s="2161"/>
      <c r="G37" s="2161"/>
      <c r="H37" s="2161"/>
      <c r="I37" s="2161"/>
      <c r="J37" s="2225" t="s">
        <v>2422</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6"/>
    </row>
    <row r="38" spans="1:58" ht="15.75" customHeight="1">
      <c r="A38" s="1192"/>
      <c r="B38" s="2160" t="s">
        <v>2421</v>
      </c>
      <c r="C38" s="2161"/>
      <c r="D38" s="2161"/>
      <c r="E38" s="2161"/>
      <c r="F38" s="2161"/>
      <c r="G38" s="2161"/>
      <c r="H38" s="2161"/>
      <c r="I38" s="2161"/>
      <c r="J38" s="2225" t="s">
        <v>2420</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6"/>
    </row>
    <row r="39" spans="1:58" ht="15.75" customHeight="1">
      <c r="A39" s="1192"/>
      <c r="B39" s="2160" t="s">
        <v>2419</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6"/>
    </row>
    <row r="40" spans="1:58" ht="15.75" customHeight="1">
      <c r="A40" s="1192"/>
      <c r="B40" s="2160" t="s">
        <v>2419</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6"/>
    </row>
    <row r="41" spans="1:58" ht="15.75" customHeight="1">
      <c r="A41" s="1192"/>
      <c r="B41" s="2160" t="s">
        <v>2418</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6"/>
    </row>
    <row r="42" spans="1:58" ht="15.75" customHeight="1">
      <c r="A42" s="1192"/>
      <c r="B42" s="2160" t="s">
        <v>2418</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6"/>
    </row>
    <row r="43" spans="1:58" ht="15.75" customHeight="1">
      <c r="A43" s="1192"/>
      <c r="B43" s="2165" t="s">
        <v>2417</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6"/>
    </row>
    <row r="44" spans="1:58" ht="15.75" customHeight="1">
      <c r="A44" s="1192"/>
      <c r="B44" s="2165" t="s">
        <v>2416</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6"/>
    </row>
    <row r="45" spans="1:58" ht="15.75" customHeight="1">
      <c r="A45" s="1192"/>
      <c r="B45" s="2165" t="s">
        <v>2415</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6"/>
    </row>
    <row r="46" spans="1:58" ht="15.75" customHeight="1">
      <c r="A46" s="1192"/>
      <c r="B46" s="2165" t="s">
        <v>2339</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6"/>
    </row>
    <row r="47" spans="1:58" ht="15.75" customHeight="1" thickBot="1">
      <c r="A47" s="1192"/>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9" t="s">
        <v>2412</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5" t="s">
        <v>2405</v>
      </c>
      <c r="C51" s="2100"/>
      <c r="D51" s="2100"/>
      <c r="E51" s="2100"/>
      <c r="F51" s="2100"/>
      <c r="G51" s="2100"/>
      <c r="H51" s="2100"/>
      <c r="I51" s="2100"/>
      <c r="J51" s="2100" t="s">
        <v>2411</v>
      </c>
      <c r="K51" s="2100"/>
      <c r="L51" s="2100"/>
      <c r="M51" s="2100"/>
      <c r="N51" s="2100"/>
      <c r="O51" s="2100"/>
      <c r="P51" s="2100"/>
      <c r="Q51" s="2100"/>
      <c r="R51" s="2204" t="s">
        <v>2410</v>
      </c>
      <c r="S51" s="2204"/>
      <c r="T51" s="2204"/>
      <c r="U51" s="2204"/>
      <c r="V51" s="2204"/>
      <c r="W51" s="2204"/>
      <c r="X51" s="2204"/>
      <c r="Y51" s="2204"/>
      <c r="Z51" s="2204" t="s">
        <v>2409</v>
      </c>
      <c r="AA51" s="2204"/>
      <c r="AB51" s="2204"/>
      <c r="AC51" s="2204"/>
      <c r="AD51" s="2204"/>
      <c r="AE51" s="2204"/>
      <c r="AF51" s="2204"/>
      <c r="AG51" s="2204"/>
      <c r="AH51" s="2204" t="s">
        <v>2408</v>
      </c>
      <c r="AI51" s="2204"/>
      <c r="AJ51" s="2204"/>
      <c r="AK51" s="2204"/>
      <c r="AL51" s="2204"/>
      <c r="AM51" s="2204"/>
      <c r="AN51" s="2204"/>
      <c r="AO51" s="2205"/>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5" t="s">
        <v>2407</v>
      </c>
      <c r="C52" s="2166"/>
      <c r="D52" s="2166"/>
      <c r="E52" s="2166"/>
      <c r="F52" s="2166"/>
      <c r="G52" s="2166"/>
      <c r="H52" s="2166"/>
      <c r="I52" s="2166"/>
      <c r="J52" s="1986">
        <v>0</v>
      </c>
      <c r="K52" s="1986"/>
      <c r="L52" s="1986"/>
      <c r="M52" s="1986"/>
      <c r="N52" s="1986"/>
      <c r="O52" s="1986"/>
      <c r="P52" s="1986"/>
      <c r="Q52" s="1986"/>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5" t="s">
        <v>2406</v>
      </c>
      <c r="C53" s="2166"/>
      <c r="D53" s="2166"/>
      <c r="E53" s="2166"/>
      <c r="F53" s="2166"/>
      <c r="G53" s="2166"/>
      <c r="H53" s="2166"/>
      <c r="I53" s="2166"/>
      <c r="J53" s="1986">
        <v>0</v>
      </c>
      <c r="K53" s="1986"/>
      <c r="L53" s="1986"/>
      <c r="M53" s="1986"/>
      <c r="N53" s="1986"/>
      <c r="O53" s="1986"/>
      <c r="P53" s="1986"/>
      <c r="Q53" s="1986"/>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5"/>
      <c r="C54" s="2166"/>
      <c r="D54" s="2166"/>
      <c r="E54" s="2166"/>
      <c r="F54" s="2166"/>
      <c r="G54" s="2166"/>
      <c r="H54" s="2166"/>
      <c r="I54" s="2166"/>
      <c r="J54" s="1986"/>
      <c r="K54" s="1986"/>
      <c r="L54" s="1986"/>
      <c r="M54" s="1986"/>
      <c r="N54" s="1986"/>
      <c r="O54" s="1986"/>
      <c r="P54" s="1986"/>
      <c r="Q54" s="1986"/>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5"/>
      <c r="C55" s="2166"/>
      <c r="D55" s="2166"/>
      <c r="E55" s="2166"/>
      <c r="F55" s="2166"/>
      <c r="G55" s="2166"/>
      <c r="H55" s="2166"/>
      <c r="I55" s="2166"/>
      <c r="J55" s="1986"/>
      <c r="K55" s="1986"/>
      <c r="L55" s="1986"/>
      <c r="M55" s="1986"/>
      <c r="N55" s="1986"/>
      <c r="O55" s="1986"/>
      <c r="P55" s="1986"/>
      <c r="Q55" s="1986"/>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5"/>
      <c r="C56" s="2166"/>
      <c r="D56" s="2166"/>
      <c r="E56" s="2166"/>
      <c r="F56" s="2166"/>
      <c r="G56" s="2166"/>
      <c r="H56" s="2166"/>
      <c r="I56" s="2166"/>
      <c r="J56" s="1986"/>
      <c r="K56" s="1986"/>
      <c r="L56" s="1986"/>
      <c r="M56" s="1986"/>
      <c r="N56" s="1986"/>
      <c r="O56" s="1986"/>
      <c r="P56" s="1986"/>
      <c r="Q56" s="1986"/>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0" t="s">
        <v>1586</v>
      </c>
      <c r="C57" s="2131"/>
      <c r="D57" s="2131"/>
      <c r="E57" s="2131"/>
      <c r="F57" s="2131"/>
      <c r="G57" s="2131"/>
      <c r="H57" s="2131"/>
      <c r="I57" s="2131"/>
      <c r="J57" s="2131"/>
      <c r="K57" s="2131"/>
      <c r="L57" s="2131"/>
      <c r="M57" s="2131"/>
      <c r="N57" s="2131"/>
      <c r="O57" s="2131"/>
      <c r="P57" s="2131"/>
      <c r="Q57" s="2131"/>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3" t="s">
        <v>2405</v>
      </c>
      <c r="C59" s="2194"/>
      <c r="D59" s="2194"/>
      <c r="E59" s="2194"/>
      <c r="F59" s="2194"/>
      <c r="G59" s="2194"/>
      <c r="H59" s="2194"/>
      <c r="I59" s="2195"/>
      <c r="J59" s="2098" t="s">
        <v>2404</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2"/>
      <c r="AY59" s="1192"/>
      <c r="AZ59" s="1192"/>
      <c r="BA59" s="1192"/>
      <c r="BB59" s="1192"/>
      <c r="BC59" s="1192"/>
      <c r="BD59" s="1192"/>
      <c r="BE59" s="1196"/>
    </row>
    <row r="60" spans="1:58" ht="15.75" customHeight="1">
      <c r="A60" s="1192"/>
      <c r="B60" s="2185" t="str">
        <f>IF(B52="", "", B52)</f>
        <v>Services Company 1</v>
      </c>
      <c r="C60" s="2186"/>
      <c r="D60" s="2186"/>
      <c r="E60" s="2186"/>
      <c r="F60" s="2186"/>
      <c r="G60" s="2186"/>
      <c r="H60" s="2186"/>
      <c r="I60" s="2187"/>
      <c r="J60" s="2188"/>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2"/>
      <c r="AY60" s="1192"/>
      <c r="AZ60" s="1192"/>
      <c r="BA60" s="1192"/>
      <c r="BB60" s="1192"/>
      <c r="BC60" s="1192"/>
      <c r="BD60" s="1192"/>
      <c r="BE60" s="1196"/>
    </row>
    <row r="61" spans="1:58" ht="15.75" customHeight="1">
      <c r="A61" s="1192"/>
      <c r="B61" s="2185" t="str">
        <f>IF(B53="", "", B53)</f>
        <v>Services Company 2</v>
      </c>
      <c r="C61" s="2186"/>
      <c r="D61" s="2186"/>
      <c r="E61" s="2186"/>
      <c r="F61" s="2186"/>
      <c r="G61" s="2186"/>
      <c r="H61" s="2186"/>
      <c r="I61" s="2187"/>
      <c r="J61" s="2188"/>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2"/>
      <c r="AY61" s="1192"/>
      <c r="AZ61" s="1192"/>
      <c r="BA61" s="1192"/>
      <c r="BB61" s="1192"/>
      <c r="BC61" s="1192"/>
      <c r="BD61" s="1192"/>
      <c r="BE61" s="1196"/>
    </row>
    <row r="62" spans="1:58" ht="15.75" customHeight="1">
      <c r="A62" s="1192"/>
      <c r="B62" s="2185" t="str">
        <f>IF(B54="", "", B54)</f>
        <v/>
      </c>
      <c r="C62" s="2186"/>
      <c r="D62" s="2186"/>
      <c r="E62" s="2186"/>
      <c r="F62" s="2186"/>
      <c r="G62" s="2186"/>
      <c r="H62" s="2186"/>
      <c r="I62" s="2187"/>
      <c r="J62" s="2188"/>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2"/>
      <c r="AY62" s="1192"/>
      <c r="AZ62" s="1192"/>
      <c r="BA62" s="1192"/>
      <c r="BB62" s="1192"/>
      <c r="BC62" s="1192"/>
      <c r="BD62" s="1192"/>
      <c r="BE62" s="1196"/>
    </row>
    <row r="63" spans="1:58" ht="15.75" customHeight="1">
      <c r="A63" s="1192"/>
      <c r="B63" s="2185" t="str">
        <f>IF(B55="", "", B55)</f>
        <v/>
      </c>
      <c r="C63" s="2186"/>
      <c r="D63" s="2186"/>
      <c r="E63" s="2186"/>
      <c r="F63" s="2186"/>
      <c r="G63" s="2186"/>
      <c r="H63" s="2186"/>
      <c r="I63" s="2187"/>
      <c r="J63" s="2188"/>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2"/>
      <c r="AY63" s="1192"/>
      <c r="AZ63" s="1192"/>
      <c r="BA63" s="1192"/>
      <c r="BB63" s="1192"/>
      <c r="BC63" s="1192"/>
      <c r="BD63" s="1192"/>
      <c r="BE63" s="1196"/>
    </row>
    <row r="64" spans="1:58" ht="15.75" customHeight="1" thickBot="1">
      <c r="A64" s="1192"/>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7" t="s">
        <v>2402</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2"/>
      <c r="AC68" s="2023" t="s">
        <v>2401</v>
      </c>
      <c r="AD68" s="2024"/>
      <c r="AE68" s="2024"/>
      <c r="AF68" s="2024"/>
      <c r="AG68" s="2024"/>
      <c r="AH68" s="2024"/>
      <c r="AI68" s="2024"/>
      <c r="AJ68" s="2024"/>
      <c r="AK68" s="2024"/>
      <c r="AL68" s="2024"/>
      <c r="AM68" s="2024"/>
      <c r="AN68" s="2024"/>
      <c r="AO68" s="2024"/>
      <c r="AP68" s="2024"/>
      <c r="AQ68" s="2024"/>
      <c r="AR68" s="2024"/>
      <c r="AS68" s="2024"/>
      <c r="AT68" s="2024"/>
      <c r="AU68" s="2024"/>
      <c r="AV68" s="2177" t="s">
        <v>669</v>
      </c>
      <c r="AW68" s="2080"/>
      <c r="AX68" s="2080"/>
      <c r="AY68" s="2080"/>
      <c r="AZ68" s="2080"/>
      <c r="BA68" s="2080"/>
      <c r="BB68" s="2080"/>
      <c r="BC68" s="2081"/>
      <c r="BD68" s="1192"/>
      <c r="BE68" s="1196"/>
      <c r="BM68" s="1201" t="s">
        <v>2400</v>
      </c>
    </row>
    <row r="69" spans="1:94" ht="15.75" customHeight="1" thickTop="1" thickBot="1">
      <c r="A69" s="1192"/>
      <c r="B69" s="2178" t="s">
        <v>2399</v>
      </c>
      <c r="C69" s="2179"/>
      <c r="D69" s="2179"/>
      <c r="E69" s="2179"/>
      <c r="F69" s="2179"/>
      <c r="G69" s="2179"/>
      <c r="H69" s="2179"/>
      <c r="I69" s="2179"/>
      <c r="J69" s="2179"/>
      <c r="K69" s="2179"/>
      <c r="L69" s="2179"/>
      <c r="M69" s="2179"/>
      <c r="N69" s="2179"/>
      <c r="O69" s="2180" t="s">
        <v>2398</v>
      </c>
      <c r="P69" s="2181"/>
      <c r="Q69" s="2181"/>
      <c r="R69" s="2181"/>
      <c r="S69" s="2181"/>
      <c r="T69" s="2181"/>
      <c r="U69" s="2181"/>
      <c r="V69" s="2181"/>
      <c r="W69" s="2181"/>
      <c r="X69" s="2181"/>
      <c r="Y69" s="2181"/>
      <c r="Z69" s="2181"/>
      <c r="AA69" s="2182"/>
      <c r="AB69" s="1192"/>
      <c r="AC69" s="2183" t="s">
        <v>2397</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0"/>
      <c r="AX69" s="2080"/>
      <c r="AY69" s="2080"/>
      <c r="AZ69" s="2080"/>
      <c r="BA69" s="2080"/>
      <c r="BB69" s="2080"/>
      <c r="BC69" s="2081"/>
      <c r="BD69" s="1192"/>
      <c r="BE69" s="1196"/>
      <c r="BM69" s="1202" t="s">
        <v>545</v>
      </c>
    </row>
    <row r="70" spans="1:94" ht="15.75" customHeight="1">
      <c r="A70" s="1192"/>
      <c r="B70" s="2160" t="s">
        <v>2396</v>
      </c>
      <c r="C70" s="2161"/>
      <c r="D70" s="2161"/>
      <c r="E70" s="2161"/>
      <c r="F70" s="2161"/>
      <c r="G70" s="2161"/>
      <c r="H70" s="2161"/>
      <c r="I70" s="2161"/>
      <c r="J70" s="2161"/>
      <c r="K70" s="2161"/>
      <c r="L70" s="2161"/>
      <c r="M70" s="2161"/>
      <c r="N70" s="2161"/>
      <c r="O70" s="2031">
        <v>0</v>
      </c>
      <c r="P70" s="2031"/>
      <c r="Q70" s="2031"/>
      <c r="R70" s="2031"/>
      <c r="S70" s="2031"/>
      <c r="T70" s="2031"/>
      <c r="U70" s="2031"/>
      <c r="V70" s="2031"/>
      <c r="W70" s="2031"/>
      <c r="X70" s="2031"/>
      <c r="Y70" s="2031"/>
      <c r="Z70" s="2031"/>
      <c r="AA70" s="2162"/>
      <c r="AB70" s="1192"/>
      <c r="AC70" s="2069" t="s">
        <v>2395</v>
      </c>
      <c r="AD70" s="2025"/>
      <c r="AE70" s="2025"/>
      <c r="AF70" s="2171"/>
      <c r="AG70" s="2171"/>
      <c r="AH70" s="2171"/>
      <c r="AI70" s="2171"/>
      <c r="AJ70" s="2171"/>
      <c r="AK70" s="2171"/>
      <c r="AL70" s="2171"/>
      <c r="AM70" s="2171"/>
      <c r="AN70" s="2171"/>
      <c r="AO70" s="2171"/>
      <c r="AP70" s="2171"/>
      <c r="AQ70" s="2171"/>
      <c r="AR70" s="2171"/>
      <c r="AS70" s="2171"/>
      <c r="AT70" s="2171"/>
      <c r="AU70" s="2172"/>
      <c r="AV70" s="1192"/>
      <c r="AW70" s="1192"/>
      <c r="AX70" s="1192"/>
      <c r="AY70" s="1192"/>
      <c r="AZ70" s="1192"/>
      <c r="BA70" s="1192"/>
      <c r="BB70" s="1192"/>
      <c r="BC70" s="1192"/>
      <c r="BD70" s="1192"/>
      <c r="BE70" s="1196"/>
      <c r="BM70" s="1203" t="s">
        <v>669</v>
      </c>
    </row>
    <row r="71" spans="1:94" ht="15.75" customHeight="1" thickBot="1">
      <c r="A71" s="1192"/>
      <c r="B71" s="2160" t="s">
        <v>2394</v>
      </c>
      <c r="C71" s="2161"/>
      <c r="D71" s="2161"/>
      <c r="E71" s="2161"/>
      <c r="F71" s="2161"/>
      <c r="G71" s="2161"/>
      <c r="H71" s="2161"/>
      <c r="I71" s="2161"/>
      <c r="J71" s="2161"/>
      <c r="K71" s="2161"/>
      <c r="L71" s="2161"/>
      <c r="M71" s="2161"/>
      <c r="N71" s="2161"/>
      <c r="O71" s="2031">
        <v>0</v>
      </c>
      <c r="P71" s="2031"/>
      <c r="Q71" s="2031"/>
      <c r="R71" s="2031"/>
      <c r="S71" s="2031"/>
      <c r="T71" s="2031"/>
      <c r="U71" s="2031"/>
      <c r="V71" s="2031"/>
      <c r="W71" s="2031"/>
      <c r="X71" s="2031"/>
      <c r="Y71" s="2031"/>
      <c r="Z71" s="2031"/>
      <c r="AA71" s="2162"/>
      <c r="AB71" s="1192"/>
      <c r="AC71" s="2173" t="s">
        <v>2393</v>
      </c>
      <c r="AD71" s="2174"/>
      <c r="AE71" s="2174"/>
      <c r="AF71" s="2175"/>
      <c r="AG71" s="2175"/>
      <c r="AH71" s="2175"/>
      <c r="AI71" s="2175"/>
      <c r="AJ71" s="2175"/>
      <c r="AK71" s="2175"/>
      <c r="AL71" s="2175"/>
      <c r="AM71" s="2175"/>
      <c r="AN71" s="2175"/>
      <c r="AO71" s="2175"/>
      <c r="AP71" s="2175"/>
      <c r="AQ71" s="2175"/>
      <c r="AR71" s="2175"/>
      <c r="AS71" s="2175"/>
      <c r="AT71" s="2175"/>
      <c r="AU71" s="2176"/>
      <c r="AV71" s="1192"/>
      <c r="AW71" s="1192"/>
      <c r="AX71" s="1192"/>
      <c r="AY71" s="1192"/>
      <c r="AZ71" s="1192"/>
      <c r="BA71" s="1192"/>
      <c r="BB71" s="1192"/>
      <c r="BC71" s="1192"/>
      <c r="BD71" s="1192"/>
      <c r="BE71" s="1196"/>
      <c r="BM71" s="1189" t="s">
        <v>2392</v>
      </c>
    </row>
    <row r="72" spans="1:94" ht="15.75" customHeight="1">
      <c r="A72" s="1192"/>
      <c r="B72" s="2160" t="s">
        <v>2391</v>
      </c>
      <c r="C72" s="2161"/>
      <c r="D72" s="2161"/>
      <c r="E72" s="2161"/>
      <c r="F72" s="2161"/>
      <c r="G72" s="2161"/>
      <c r="H72" s="2161"/>
      <c r="I72" s="2161"/>
      <c r="J72" s="2161"/>
      <c r="K72" s="2161"/>
      <c r="L72" s="2161"/>
      <c r="M72" s="2161"/>
      <c r="N72" s="2161"/>
      <c r="O72" s="2031">
        <v>0</v>
      </c>
      <c r="P72" s="2031"/>
      <c r="Q72" s="2031"/>
      <c r="R72" s="2031"/>
      <c r="S72" s="2031"/>
      <c r="T72" s="2031"/>
      <c r="U72" s="2031"/>
      <c r="V72" s="2031"/>
      <c r="W72" s="2031"/>
      <c r="X72" s="2031"/>
      <c r="Y72" s="2031"/>
      <c r="Z72" s="2031"/>
      <c r="AA72" s="2162"/>
      <c r="AB72" s="1192"/>
      <c r="AC72" s="2163" t="s">
        <v>2390</v>
      </c>
      <c r="AD72" s="2164"/>
      <c r="AE72" s="2164"/>
      <c r="AF72" s="2164"/>
      <c r="AG72" s="2164"/>
      <c r="AH72" s="2164"/>
      <c r="AI72" s="2164"/>
      <c r="AJ72" s="2164"/>
      <c r="AK72" s="2164"/>
      <c r="AL72" s="2164"/>
      <c r="AM72" s="2164"/>
      <c r="AN72" s="2164"/>
      <c r="AO72" s="2164"/>
      <c r="AP72" s="2164"/>
      <c r="AQ72" s="2164"/>
      <c r="AR72" s="2164"/>
      <c r="AS72" s="2164"/>
      <c r="AT72" s="2164"/>
      <c r="AU72" s="2164"/>
      <c r="AV72" s="2025"/>
      <c r="AW72" s="2025"/>
      <c r="AX72" s="2025"/>
      <c r="AY72" s="2025"/>
      <c r="AZ72" s="2025"/>
      <c r="BA72" s="2025"/>
      <c r="BB72" s="2025"/>
      <c r="BC72" s="2026"/>
      <c r="BD72" s="1192"/>
      <c r="BE72" s="1196"/>
    </row>
    <row r="73" spans="1:94" ht="15.75" customHeight="1">
      <c r="A73" s="1192"/>
      <c r="B73" s="2165" t="s">
        <v>2389</v>
      </c>
      <c r="C73" s="2166"/>
      <c r="D73" s="2166"/>
      <c r="E73" s="2166"/>
      <c r="F73" s="2166"/>
      <c r="G73" s="2166"/>
      <c r="H73" s="2166"/>
      <c r="I73" s="2166"/>
      <c r="J73" s="2166"/>
      <c r="K73" s="2166"/>
      <c r="L73" s="2166"/>
      <c r="M73" s="2166"/>
      <c r="N73" s="2166"/>
      <c r="O73" s="2031">
        <v>0</v>
      </c>
      <c r="P73" s="2031"/>
      <c r="Q73" s="2031"/>
      <c r="R73" s="2031"/>
      <c r="S73" s="2031"/>
      <c r="T73" s="2031"/>
      <c r="U73" s="2031"/>
      <c r="V73" s="2031"/>
      <c r="W73" s="2031"/>
      <c r="X73" s="2031"/>
      <c r="Y73" s="2031"/>
      <c r="Z73" s="2031"/>
      <c r="AA73" s="2162"/>
      <c r="AB73" s="1192"/>
      <c r="AC73" s="2040" t="s">
        <v>2334</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2"/>
      <c r="BE73" s="1196"/>
      <c r="CK73" s="1190"/>
      <c r="CL73" s="1190"/>
      <c r="CM73" s="1190"/>
      <c r="CN73" s="1190"/>
      <c r="CO73" s="1190"/>
      <c r="CP73" s="1190"/>
    </row>
    <row r="74" spans="1:94" ht="15.75" customHeight="1">
      <c r="A74" s="1192"/>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62"/>
      <c r="AB74" s="1192"/>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2"/>
      <c r="BE74" s="1196"/>
      <c r="CK74" s="1190"/>
      <c r="CL74" s="1190"/>
      <c r="CM74" s="1190"/>
      <c r="CN74" s="1190"/>
      <c r="CO74" s="1190"/>
      <c r="CP74" s="1190"/>
    </row>
    <row r="75" spans="1:94" ht="15.75" customHeight="1" thickBot="1">
      <c r="A75" s="1192"/>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2"/>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5"/>
      <c r="G79" s="2146"/>
      <c r="H79" s="2146"/>
      <c r="I79" s="2146"/>
      <c r="J79" s="2146"/>
      <c r="K79" s="2146"/>
      <c r="L79" s="2146"/>
      <c r="M79" s="2146"/>
      <c r="N79" s="2146"/>
      <c r="O79" s="2146"/>
      <c r="P79" s="2146"/>
      <c r="Q79" s="2146"/>
      <c r="R79" s="2146"/>
      <c r="S79" s="2146"/>
      <c r="T79" s="214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8" t="s">
        <v>2387</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4" t="s">
        <v>2386</v>
      </c>
      <c r="C81" s="2155"/>
      <c r="D81" s="2155"/>
      <c r="E81" s="2155"/>
      <c r="F81" s="2155"/>
      <c r="G81" s="2155"/>
      <c r="H81" s="2155"/>
      <c r="I81" s="2155"/>
      <c r="J81" s="2155"/>
      <c r="K81" s="2155"/>
      <c r="L81" s="2155"/>
      <c r="M81" s="2155"/>
      <c r="N81" s="2155"/>
      <c r="O81" s="2155"/>
      <c r="P81" s="2155"/>
      <c r="Q81" s="2155"/>
      <c r="R81" s="2136" t="s">
        <v>2190</v>
      </c>
      <c r="S81" s="2137"/>
      <c r="T81" s="213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7" t="s">
        <v>2385</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2"/>
      <c r="AJ83" s="2121" t="s">
        <v>2384</v>
      </c>
      <c r="AK83" s="2122"/>
      <c r="AL83" s="2122"/>
      <c r="AM83" s="2122"/>
      <c r="AN83" s="2122"/>
      <c r="AO83" s="2122"/>
      <c r="AP83" s="2122"/>
      <c r="AQ83" s="2122"/>
      <c r="AR83" s="2122"/>
      <c r="AS83" s="2122"/>
      <c r="AT83" s="2122"/>
      <c r="AU83" s="2122"/>
      <c r="AV83" s="2122"/>
      <c r="AW83" s="2122"/>
      <c r="AX83" s="2122"/>
      <c r="AY83" s="2141" t="s">
        <v>545</v>
      </c>
      <c r="AZ83" s="2141"/>
      <c r="BA83" s="2141"/>
      <c r="BB83" s="2142"/>
      <c r="BC83" s="1192"/>
      <c r="BD83" s="1192"/>
      <c r="BE83" s="1196"/>
      <c r="CK83" s="1190"/>
      <c r="CL83" s="1190"/>
      <c r="CM83" s="1190"/>
      <c r="CN83" s="1190"/>
      <c r="CO83" s="1190"/>
      <c r="CP83" s="1190"/>
    </row>
    <row r="84" spans="1:94" ht="15.75" customHeight="1">
      <c r="A84" s="1192"/>
      <c r="B84" s="2135"/>
      <c r="C84" s="2100"/>
      <c r="D84" s="2100"/>
      <c r="E84" s="2100"/>
      <c r="F84" s="2100"/>
      <c r="G84" s="2100"/>
      <c r="H84" s="2100"/>
      <c r="I84" s="2100" t="s">
        <v>2374</v>
      </c>
      <c r="J84" s="2100"/>
      <c r="K84" s="2100"/>
      <c r="L84" s="2100"/>
      <c r="M84" s="2100"/>
      <c r="N84" s="2100"/>
      <c r="O84" s="2100" t="s">
        <v>2350</v>
      </c>
      <c r="P84" s="2100"/>
      <c r="Q84" s="2100"/>
      <c r="R84" s="2100"/>
      <c r="S84" s="2100"/>
      <c r="T84" s="2100"/>
      <c r="U84" s="2100"/>
      <c r="V84" s="2139" t="s">
        <v>2349</v>
      </c>
      <c r="W84" s="2139"/>
      <c r="X84" s="2139"/>
      <c r="Y84" s="2139"/>
      <c r="Z84" s="2139"/>
      <c r="AA84" s="2139"/>
      <c r="AB84" s="2070" t="s">
        <v>2373</v>
      </c>
      <c r="AC84" s="2070"/>
      <c r="AD84" s="2070"/>
      <c r="AE84" s="2070"/>
      <c r="AF84" s="2070"/>
      <c r="AG84" s="2070"/>
      <c r="AH84" s="2140"/>
      <c r="AI84" s="1192"/>
      <c r="AJ84" s="2124"/>
      <c r="AK84" s="2125"/>
      <c r="AL84" s="2125"/>
      <c r="AM84" s="2125"/>
      <c r="AN84" s="2125"/>
      <c r="AO84" s="2125"/>
      <c r="AP84" s="2125"/>
      <c r="AQ84" s="2125"/>
      <c r="AR84" s="2125"/>
      <c r="AS84" s="2125"/>
      <c r="AT84" s="2125"/>
      <c r="AU84" s="2125"/>
      <c r="AV84" s="2125"/>
      <c r="AW84" s="2125"/>
      <c r="AX84" s="2125"/>
      <c r="AY84" s="2143"/>
      <c r="AZ84" s="2143"/>
      <c r="BA84" s="2143"/>
      <c r="BB84" s="2144"/>
      <c r="BC84" s="1192"/>
      <c r="BD84" s="1192"/>
      <c r="BE84" s="1196"/>
      <c r="CK84" s="1190"/>
      <c r="CL84" s="1190"/>
      <c r="CM84" s="1190"/>
      <c r="CN84" s="1190"/>
      <c r="CO84" s="1190"/>
      <c r="CP84" s="1190"/>
    </row>
    <row r="85" spans="1:94" ht="15.75" customHeight="1">
      <c r="A85" s="1192"/>
      <c r="B85" s="2135"/>
      <c r="C85" s="2100"/>
      <c r="D85" s="2100"/>
      <c r="E85" s="2100"/>
      <c r="F85" s="2100"/>
      <c r="G85" s="2100"/>
      <c r="H85" s="2100"/>
      <c r="I85" s="2100"/>
      <c r="J85" s="2100"/>
      <c r="K85" s="2100"/>
      <c r="L85" s="2100"/>
      <c r="M85" s="2100"/>
      <c r="N85" s="2100"/>
      <c r="O85" s="2100"/>
      <c r="P85" s="2100"/>
      <c r="Q85" s="2100"/>
      <c r="R85" s="2100"/>
      <c r="S85" s="2100"/>
      <c r="T85" s="2100"/>
      <c r="U85" s="2100"/>
      <c r="V85" s="2139"/>
      <c r="W85" s="2139"/>
      <c r="X85" s="2139"/>
      <c r="Y85" s="2139"/>
      <c r="Z85" s="2139"/>
      <c r="AA85" s="2139"/>
      <c r="AB85" s="2070"/>
      <c r="AC85" s="2070"/>
      <c r="AD85" s="2070"/>
      <c r="AE85" s="2070"/>
      <c r="AF85" s="2070"/>
      <c r="AG85" s="2070"/>
      <c r="AH85" s="2140"/>
      <c r="AI85" s="1192"/>
      <c r="AJ85" s="2124"/>
      <c r="AK85" s="2125"/>
      <c r="AL85" s="2125"/>
      <c r="AM85" s="2125"/>
      <c r="AN85" s="2125"/>
      <c r="AO85" s="2125"/>
      <c r="AP85" s="2125"/>
      <c r="AQ85" s="2125"/>
      <c r="AR85" s="2125"/>
      <c r="AS85" s="2125"/>
      <c r="AT85" s="2125"/>
      <c r="AU85" s="2125"/>
      <c r="AV85" s="2125"/>
      <c r="AW85" s="2125"/>
      <c r="AX85" s="2125"/>
      <c r="AY85" s="2143"/>
      <c r="AZ85" s="2143"/>
      <c r="BA85" s="2143"/>
      <c r="BB85" s="2144"/>
      <c r="BC85" s="1192"/>
      <c r="BD85" s="1192"/>
      <c r="BE85" s="1196"/>
      <c r="CK85" s="1190"/>
      <c r="CL85" s="1190"/>
      <c r="CM85" s="1190"/>
      <c r="CN85" s="1190"/>
      <c r="CO85" s="1190"/>
      <c r="CP85" s="1190"/>
    </row>
    <row r="86" spans="1:94" ht="15.75" customHeight="1">
      <c r="A86" s="1192"/>
      <c r="B86" s="2135" t="s">
        <v>2372</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2"/>
      <c r="AJ86" s="2124"/>
      <c r="AK86" s="2125"/>
      <c r="AL86" s="2125"/>
      <c r="AM86" s="2125"/>
      <c r="AN86" s="2125"/>
      <c r="AO86" s="2125"/>
      <c r="AP86" s="2125"/>
      <c r="AQ86" s="2125"/>
      <c r="AR86" s="2125"/>
      <c r="AS86" s="2125"/>
      <c r="AT86" s="2125"/>
      <c r="AU86" s="2125"/>
      <c r="AV86" s="2125"/>
      <c r="AW86" s="2125"/>
      <c r="AX86" s="2125"/>
      <c r="AY86" s="2143"/>
      <c r="AZ86" s="2143"/>
      <c r="BA86" s="2143"/>
      <c r="BB86" s="2144"/>
      <c r="BC86" s="1192"/>
      <c r="BD86" s="1192"/>
      <c r="BE86" s="1196"/>
      <c r="CK86" s="1190"/>
      <c r="CL86" s="1190"/>
      <c r="CM86" s="1190"/>
      <c r="CN86" s="1190"/>
      <c r="CO86" s="1190"/>
      <c r="CP86" s="1190"/>
    </row>
    <row r="87" spans="1:94" ht="15.75" customHeight="1">
      <c r="A87" s="1192"/>
      <c r="B87" s="2135" t="s">
        <v>2371</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2"/>
      <c r="AJ87" s="2040" t="s">
        <v>2378</v>
      </c>
      <c r="AK87" s="2041"/>
      <c r="AL87" s="2041"/>
      <c r="AM87" s="2041"/>
      <c r="AN87" s="2041"/>
      <c r="AO87" s="2041"/>
      <c r="AP87" s="2041"/>
      <c r="AQ87" s="2041"/>
      <c r="AR87" s="2041"/>
      <c r="AS87" s="2041"/>
      <c r="AT87" s="2041"/>
      <c r="AU87" s="2041"/>
      <c r="AV87" s="2041"/>
      <c r="AW87" s="2041"/>
      <c r="AX87" s="2041"/>
      <c r="AY87" s="2041"/>
      <c r="AZ87" s="2041"/>
      <c r="BA87" s="2041"/>
      <c r="BB87" s="2042"/>
      <c r="BC87" s="1192"/>
      <c r="BD87" s="1192"/>
      <c r="BE87" s="1196"/>
      <c r="CK87" s="1190"/>
      <c r="CL87" s="1190"/>
      <c r="CM87" s="1190"/>
      <c r="CN87" s="1190"/>
      <c r="CO87" s="1190"/>
      <c r="CP87" s="1190"/>
    </row>
    <row r="88" spans="1:94" ht="15.75" customHeight="1" thickBot="1">
      <c r="A88" s="1192"/>
      <c r="B88" s="2130" t="s">
        <v>2370</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2"/>
      <c r="AJ88" s="2043"/>
      <c r="AK88" s="2044"/>
      <c r="AL88" s="2044"/>
      <c r="AM88" s="2044"/>
      <c r="AN88" s="2044"/>
      <c r="AO88" s="2044"/>
      <c r="AP88" s="2044"/>
      <c r="AQ88" s="2044"/>
      <c r="AR88" s="2044"/>
      <c r="AS88" s="2044"/>
      <c r="AT88" s="2044"/>
      <c r="AU88" s="2044"/>
      <c r="AV88" s="2044"/>
      <c r="AW88" s="2044"/>
      <c r="AX88" s="2044"/>
      <c r="AY88" s="2044"/>
      <c r="AZ88" s="2044"/>
      <c r="BA88" s="2044"/>
      <c r="BB88" s="204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5"/>
      <c r="G92" s="2146"/>
      <c r="H92" s="2146"/>
      <c r="I92" s="2146"/>
      <c r="J92" s="2146"/>
      <c r="K92" s="2146"/>
      <c r="L92" s="2146"/>
      <c r="M92" s="2146"/>
      <c r="N92" s="2146"/>
      <c r="O92" s="2146"/>
      <c r="P92" s="2146"/>
      <c r="Q92" s="2146"/>
      <c r="R92" s="2146"/>
      <c r="S92" s="2146"/>
      <c r="T92" s="214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8" t="s">
        <v>2382</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4" t="s">
        <v>2381</v>
      </c>
      <c r="C94" s="2155"/>
      <c r="D94" s="2155"/>
      <c r="E94" s="2155"/>
      <c r="F94" s="2155"/>
      <c r="G94" s="2155"/>
      <c r="H94" s="2155"/>
      <c r="I94" s="2155"/>
      <c r="J94" s="2155"/>
      <c r="K94" s="2155"/>
      <c r="L94" s="2155"/>
      <c r="M94" s="2155"/>
      <c r="N94" s="2155"/>
      <c r="O94" s="2155"/>
      <c r="P94" s="2155"/>
      <c r="Q94" s="2156"/>
      <c r="R94" s="2136" t="s">
        <v>2190</v>
      </c>
      <c r="S94" s="2137"/>
      <c r="T94" s="213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7" t="s">
        <v>2380</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2"/>
      <c r="AJ96" s="2121" t="s">
        <v>2379</v>
      </c>
      <c r="AK96" s="2122"/>
      <c r="AL96" s="2122"/>
      <c r="AM96" s="2122"/>
      <c r="AN96" s="2122"/>
      <c r="AO96" s="2122"/>
      <c r="AP96" s="2122"/>
      <c r="AQ96" s="2122"/>
      <c r="AR96" s="2122"/>
      <c r="AS96" s="2122"/>
      <c r="AT96" s="2122"/>
      <c r="AU96" s="2122"/>
      <c r="AV96" s="2122"/>
      <c r="AW96" s="2122"/>
      <c r="AX96" s="2122"/>
      <c r="AY96" s="2141" t="s">
        <v>545</v>
      </c>
      <c r="AZ96" s="2141"/>
      <c r="BA96" s="2141"/>
      <c r="BB96" s="2142"/>
      <c r="BC96" s="1192"/>
      <c r="BD96" s="1192"/>
      <c r="BE96" s="1196"/>
      <c r="BQ96" s="1189" t="str">
        <f>Application!M243&amp;IF(TRIM(Application!AA249)&lt;&gt;""," ("&amp;Application!AA249&amp;")","")</f>
        <v>HVN 12432 Moorpark LLC (HVN Development LLC)</v>
      </c>
      <c r="BR96" s="1218">
        <f>Application!AH246</f>
        <v>8.9999999999999993E-3</v>
      </c>
      <c r="CM96" s="1190"/>
      <c r="CN96" s="1190"/>
      <c r="CO96" s="1190"/>
      <c r="CP96" s="1190"/>
    </row>
    <row r="97" spans="1:94" ht="15.75" customHeight="1">
      <c r="A97" s="1192"/>
      <c r="B97" s="2135"/>
      <c r="C97" s="2100"/>
      <c r="D97" s="2100"/>
      <c r="E97" s="2100"/>
      <c r="F97" s="2100"/>
      <c r="G97" s="2100"/>
      <c r="H97" s="2100"/>
      <c r="I97" s="2100" t="s">
        <v>2374</v>
      </c>
      <c r="J97" s="2100"/>
      <c r="K97" s="2100"/>
      <c r="L97" s="2100"/>
      <c r="M97" s="2100"/>
      <c r="N97" s="2100"/>
      <c r="O97" s="2100" t="s">
        <v>2350</v>
      </c>
      <c r="P97" s="2100"/>
      <c r="Q97" s="2100"/>
      <c r="R97" s="2100"/>
      <c r="S97" s="2100"/>
      <c r="T97" s="2100"/>
      <c r="U97" s="2100"/>
      <c r="V97" s="2139" t="s">
        <v>2349</v>
      </c>
      <c r="W97" s="2139"/>
      <c r="X97" s="2139"/>
      <c r="Y97" s="2139"/>
      <c r="Z97" s="2139"/>
      <c r="AA97" s="2139"/>
      <c r="AB97" s="2070" t="s">
        <v>2373</v>
      </c>
      <c r="AC97" s="2070"/>
      <c r="AD97" s="2070"/>
      <c r="AE97" s="2070"/>
      <c r="AF97" s="2070"/>
      <c r="AG97" s="2070"/>
      <c r="AH97" s="2140"/>
      <c r="AI97" s="1192"/>
      <c r="AJ97" s="2124"/>
      <c r="AK97" s="2125"/>
      <c r="AL97" s="2125"/>
      <c r="AM97" s="2125"/>
      <c r="AN97" s="2125"/>
      <c r="AO97" s="2125"/>
      <c r="AP97" s="2125"/>
      <c r="AQ97" s="2125"/>
      <c r="AR97" s="2125"/>
      <c r="AS97" s="2125"/>
      <c r="AT97" s="2125"/>
      <c r="AU97" s="2125"/>
      <c r="AV97" s="2125"/>
      <c r="AW97" s="2125"/>
      <c r="AX97" s="2125"/>
      <c r="AY97" s="2143"/>
      <c r="AZ97" s="2143"/>
      <c r="BA97" s="2143"/>
      <c r="BB97" s="2144"/>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135"/>
      <c r="C98" s="2100"/>
      <c r="D98" s="2100"/>
      <c r="E98" s="2100"/>
      <c r="F98" s="2100"/>
      <c r="G98" s="2100"/>
      <c r="H98" s="2100"/>
      <c r="I98" s="2100"/>
      <c r="J98" s="2100"/>
      <c r="K98" s="2100"/>
      <c r="L98" s="2100"/>
      <c r="M98" s="2100"/>
      <c r="N98" s="2100"/>
      <c r="O98" s="2100"/>
      <c r="P98" s="2100"/>
      <c r="Q98" s="2100"/>
      <c r="R98" s="2100"/>
      <c r="S98" s="2100"/>
      <c r="T98" s="2100"/>
      <c r="U98" s="2100"/>
      <c r="V98" s="2139"/>
      <c r="W98" s="2139"/>
      <c r="X98" s="2139"/>
      <c r="Y98" s="2139"/>
      <c r="Z98" s="2139"/>
      <c r="AA98" s="2139"/>
      <c r="AB98" s="2070"/>
      <c r="AC98" s="2070"/>
      <c r="AD98" s="2070"/>
      <c r="AE98" s="2070"/>
      <c r="AF98" s="2070"/>
      <c r="AG98" s="2070"/>
      <c r="AH98" s="2140"/>
      <c r="AI98" s="1192"/>
      <c r="AJ98" s="2124"/>
      <c r="AK98" s="2125"/>
      <c r="AL98" s="2125"/>
      <c r="AM98" s="2125"/>
      <c r="AN98" s="2125"/>
      <c r="AO98" s="2125"/>
      <c r="AP98" s="2125"/>
      <c r="AQ98" s="2125"/>
      <c r="AR98" s="2125"/>
      <c r="AS98" s="2125"/>
      <c r="AT98" s="2125"/>
      <c r="AU98" s="2125"/>
      <c r="AV98" s="2125"/>
      <c r="AW98" s="2125"/>
      <c r="AX98" s="2125"/>
      <c r="AY98" s="2143"/>
      <c r="AZ98" s="2143"/>
      <c r="BA98" s="2143"/>
      <c r="BB98" s="214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5" t="s">
        <v>2372</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2"/>
      <c r="AJ99" s="2124"/>
      <c r="AK99" s="2125"/>
      <c r="AL99" s="2125"/>
      <c r="AM99" s="2125"/>
      <c r="AN99" s="2125"/>
      <c r="AO99" s="2125"/>
      <c r="AP99" s="2125"/>
      <c r="AQ99" s="2125"/>
      <c r="AR99" s="2125"/>
      <c r="AS99" s="2125"/>
      <c r="AT99" s="2125"/>
      <c r="AU99" s="2125"/>
      <c r="AV99" s="2125"/>
      <c r="AW99" s="2125"/>
      <c r="AX99" s="2125"/>
      <c r="AY99" s="2143"/>
      <c r="AZ99" s="2143"/>
      <c r="BA99" s="2143"/>
      <c r="BB99" s="2144"/>
      <c r="BC99" s="1192"/>
      <c r="BD99" s="1192"/>
      <c r="BE99" s="1196"/>
      <c r="CM99" s="1190"/>
      <c r="CN99" s="1190"/>
      <c r="CO99" s="1190"/>
      <c r="CP99" s="1190"/>
    </row>
    <row r="100" spans="1:94" ht="15.75" customHeight="1">
      <c r="A100" s="1192"/>
      <c r="B100" s="2135" t="s">
        <v>2371</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2"/>
      <c r="AJ100" s="2040" t="s">
        <v>2378</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2"/>
      <c r="BD100" s="1192"/>
      <c r="BE100" s="1196"/>
      <c r="CM100" s="1190"/>
      <c r="CN100" s="1190"/>
      <c r="CO100" s="1190"/>
      <c r="CP100" s="1190"/>
    </row>
    <row r="101" spans="1:94" ht="15.75" customHeight="1" thickBot="1">
      <c r="A101" s="1192"/>
      <c r="B101" s="2130" t="s">
        <v>2370</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2"/>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4"/>
      <c r="G104" s="2095"/>
      <c r="H104" s="2095"/>
      <c r="I104" s="2095"/>
      <c r="J104" s="2095"/>
      <c r="K104" s="2095"/>
      <c r="L104" s="2095"/>
      <c r="M104" s="2095"/>
      <c r="N104" s="2095"/>
      <c r="O104" s="2095"/>
      <c r="P104" s="2095"/>
      <c r="Q104" s="2095"/>
      <c r="R104" s="209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6" t="str">
        <f>IFERROR(INDEX(BR96:BR98,MATCH(F104,$BQ$96:$BQ$98,0))/SUM($BR$96:$BR$98),"")</f>
        <v/>
      </c>
      <c r="P105" s="2137"/>
      <c r="Q105" s="2137"/>
      <c r="R105" s="213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3" t="s">
        <v>2375</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5"/>
      <c r="C108" s="2100"/>
      <c r="D108" s="2100"/>
      <c r="E108" s="2100"/>
      <c r="F108" s="2100"/>
      <c r="G108" s="2100"/>
      <c r="H108" s="2100"/>
      <c r="I108" s="2100" t="s">
        <v>2374</v>
      </c>
      <c r="J108" s="2100"/>
      <c r="K108" s="2100"/>
      <c r="L108" s="2100"/>
      <c r="M108" s="2100"/>
      <c r="N108" s="2100"/>
      <c r="O108" s="2100" t="s">
        <v>2350</v>
      </c>
      <c r="P108" s="2100"/>
      <c r="Q108" s="2100"/>
      <c r="R108" s="2100"/>
      <c r="S108" s="2100"/>
      <c r="T108" s="2100"/>
      <c r="U108" s="2100"/>
      <c r="V108" s="2139" t="s">
        <v>2349</v>
      </c>
      <c r="W108" s="2139"/>
      <c r="X108" s="2139"/>
      <c r="Y108" s="2139"/>
      <c r="Z108" s="2139"/>
      <c r="AA108" s="2139"/>
      <c r="AB108" s="2070" t="s">
        <v>2373</v>
      </c>
      <c r="AC108" s="2070"/>
      <c r="AD108" s="2070"/>
      <c r="AE108" s="2070"/>
      <c r="AF108" s="2070"/>
      <c r="AG108" s="2070"/>
      <c r="AH108" s="2140"/>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5"/>
      <c r="C109" s="2100"/>
      <c r="D109" s="2100"/>
      <c r="E109" s="2100"/>
      <c r="F109" s="2100"/>
      <c r="G109" s="2100"/>
      <c r="H109" s="2100"/>
      <c r="I109" s="2100"/>
      <c r="J109" s="2100"/>
      <c r="K109" s="2100"/>
      <c r="L109" s="2100"/>
      <c r="M109" s="2100"/>
      <c r="N109" s="2100"/>
      <c r="O109" s="2100"/>
      <c r="P109" s="2100"/>
      <c r="Q109" s="2100"/>
      <c r="R109" s="2100"/>
      <c r="S109" s="2100"/>
      <c r="T109" s="2100"/>
      <c r="U109" s="2100"/>
      <c r="V109" s="2139"/>
      <c r="W109" s="2139"/>
      <c r="X109" s="2139"/>
      <c r="Y109" s="2139"/>
      <c r="Z109" s="2139"/>
      <c r="AA109" s="2139"/>
      <c r="AB109" s="2070"/>
      <c r="AC109" s="2070"/>
      <c r="AD109" s="2070"/>
      <c r="AE109" s="2070"/>
      <c r="AF109" s="2070"/>
      <c r="AG109" s="2070"/>
      <c r="AH109" s="2140"/>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5" t="s">
        <v>2372</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5" t="s">
        <v>2371</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0" t="s">
        <v>2370</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2"/>
      <c r="G115" s="2133"/>
      <c r="H115" s="2133"/>
      <c r="I115" s="2133"/>
      <c r="J115" s="2133"/>
      <c r="K115" s="2133"/>
      <c r="L115" s="2133"/>
      <c r="M115" s="2133"/>
      <c r="N115" s="2133"/>
      <c r="O115" s="2133"/>
      <c r="P115" s="2133"/>
      <c r="Q115" s="2133"/>
      <c r="R115" s="213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5" t="s">
        <v>2368</v>
      </c>
      <c r="C117" s="2106"/>
      <c r="D117" s="2106"/>
      <c r="E117" s="2106"/>
      <c r="F117" s="2106"/>
      <c r="G117" s="2106"/>
      <c r="H117" s="2106"/>
      <c r="I117" s="2106"/>
      <c r="J117" s="2106"/>
      <c r="K117" s="2106"/>
      <c r="L117" s="2106"/>
      <c r="M117" s="2106"/>
      <c r="N117" s="2106"/>
      <c r="O117" s="2106"/>
      <c r="P117" s="2106"/>
      <c r="Q117" s="2106"/>
      <c r="R117" s="2106"/>
      <c r="S117" s="2106"/>
      <c r="T117" s="2106"/>
      <c r="U117" s="2109" t="s">
        <v>545</v>
      </c>
      <c r="V117" s="2109"/>
      <c r="W117" s="2109"/>
      <c r="X117" s="211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3" t="s">
        <v>2368</v>
      </c>
      <c r="C121" s="2114"/>
      <c r="D121" s="2114"/>
      <c r="E121" s="2114"/>
      <c r="F121" s="2114"/>
      <c r="G121" s="2114"/>
      <c r="H121" s="2114"/>
      <c r="I121" s="2114"/>
      <c r="J121" s="2114"/>
      <c r="K121" s="2114"/>
      <c r="L121" s="2114"/>
      <c r="M121" s="2114"/>
      <c r="N121" s="2114"/>
      <c r="O121" s="2114"/>
      <c r="P121" s="2114"/>
      <c r="Q121" s="2114"/>
      <c r="R121" s="2114"/>
      <c r="S121" s="2114"/>
      <c r="T121" s="2114"/>
      <c r="U121" s="2117" t="s">
        <v>545</v>
      </c>
      <c r="V121" s="2117"/>
      <c r="W121" s="2117"/>
      <c r="X121" s="211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1" t="s">
        <v>2366</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6"/>
    </row>
    <row r="126" spans="1:57" ht="15.75" customHeight="1">
      <c r="A126" s="1192"/>
      <c r="B126" s="2127" t="s">
        <v>1576</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2"/>
      <c r="W126" s="1192"/>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6"/>
    </row>
    <row r="127" spans="1:57" ht="15.75" customHeight="1">
      <c r="A127" s="1192"/>
      <c r="B127" s="2037"/>
      <c r="C127" s="2038"/>
      <c r="D127" s="2038"/>
      <c r="E127" s="2038"/>
      <c r="F127" s="2038"/>
      <c r="G127" s="2038"/>
      <c r="H127" s="2038"/>
      <c r="I127" s="2100" t="s">
        <v>2365</v>
      </c>
      <c r="J127" s="2100"/>
      <c r="K127" s="2100"/>
      <c r="L127" s="2100"/>
      <c r="M127" s="2100"/>
      <c r="N127" s="2100"/>
      <c r="O127" s="2101" t="s">
        <v>2364</v>
      </c>
      <c r="P127" s="2101"/>
      <c r="Q127" s="2101"/>
      <c r="R127" s="2101"/>
      <c r="S127" s="2101"/>
      <c r="T127" s="2101"/>
      <c r="U127" s="2102"/>
      <c r="V127" s="1192"/>
      <c r="W127" s="1192"/>
      <c r="X127" s="2040" t="s">
        <v>2334</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6"/>
    </row>
    <row r="128" spans="1:57" ht="15.75" customHeight="1">
      <c r="A128" s="1192"/>
      <c r="B128" s="2071" t="s">
        <v>2348</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2"/>
      <c r="W128" s="1192"/>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6"/>
    </row>
    <row r="129" spans="1:57" ht="15.75" customHeight="1" thickBot="1">
      <c r="A129" s="1192"/>
      <c r="B129" s="2065" t="s">
        <v>2347</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2"/>
      <c r="W129" s="1192"/>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6"/>
    </row>
    <row r="133" spans="1:57" ht="15.75" customHeight="1">
      <c r="A133" s="1192"/>
      <c r="B133" s="2097" t="s">
        <v>2362</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2"/>
      <c r="W133" s="1192"/>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6"/>
    </row>
    <row r="134" spans="1:57" ht="15.75" customHeight="1">
      <c r="A134" s="1192"/>
      <c r="B134" s="2037"/>
      <c r="C134" s="2038"/>
      <c r="D134" s="2038"/>
      <c r="E134" s="2038"/>
      <c r="F134" s="2038"/>
      <c r="G134" s="2038"/>
      <c r="H134" s="2038"/>
      <c r="I134" s="2075" t="s">
        <v>2350</v>
      </c>
      <c r="J134" s="2075"/>
      <c r="K134" s="2075"/>
      <c r="L134" s="2075"/>
      <c r="M134" s="2075"/>
      <c r="N134" s="2075"/>
      <c r="O134" s="2075"/>
      <c r="P134" s="2075" t="s">
        <v>2349</v>
      </c>
      <c r="Q134" s="2075"/>
      <c r="R134" s="2075"/>
      <c r="S134" s="2075"/>
      <c r="T134" s="2075"/>
      <c r="U134" s="2076"/>
      <c r="V134" s="1192"/>
      <c r="W134" s="1192"/>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6"/>
    </row>
    <row r="135" spans="1:57" ht="15.75" customHeight="1">
      <c r="A135" s="1192"/>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2"/>
      <c r="W135" s="1192"/>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6"/>
    </row>
    <row r="136" spans="1:57" ht="15.75" customHeight="1">
      <c r="A136" s="1192"/>
      <c r="B136" s="2071" t="s">
        <v>2348</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2"/>
      <c r="W136" s="1192"/>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6"/>
    </row>
    <row r="137" spans="1:57" ht="15.75" customHeight="1" thickBot="1">
      <c r="A137" s="1192"/>
      <c r="B137" s="2065" t="s">
        <v>2347</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2"/>
      <c r="W137" s="1192"/>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2" t="s">
        <v>2361</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545</v>
      </c>
      <c r="AI139" s="2080"/>
      <c r="AJ139" s="2080"/>
      <c r="AK139" s="2080"/>
      <c r="AL139" s="2080"/>
      <c r="AM139" s="2080"/>
      <c r="AN139" s="2080"/>
      <c r="AO139" s="2080"/>
      <c r="AP139" s="2080"/>
      <c r="AQ139" s="2080"/>
      <c r="AR139" s="2080"/>
      <c r="AS139" s="2080"/>
      <c r="AT139" s="2080"/>
      <c r="AU139" s="2080"/>
      <c r="AV139" s="2080"/>
      <c r="AW139" s="2080"/>
      <c r="AX139" s="2081"/>
      <c r="AY139" s="1192"/>
      <c r="AZ139" s="1192"/>
      <c r="BA139" s="1192"/>
      <c r="BB139" s="1192"/>
      <c r="BC139" s="1192"/>
      <c r="BD139" s="1192"/>
      <c r="BE139" s="1196"/>
    </row>
    <row r="140" spans="1:57" ht="15.75" customHeight="1" thickBot="1">
      <c r="A140" s="1192"/>
      <c r="B140" s="2077" t="s">
        <v>2360</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2"/>
      <c r="AZ140" s="1192"/>
      <c r="BA140" s="1192"/>
      <c r="BB140" s="1192"/>
      <c r="BC140" s="1192"/>
      <c r="BD140" s="1192"/>
      <c r="BE140" s="1196"/>
    </row>
    <row r="141" spans="1:57" ht="15.75" customHeight="1">
      <c r="A141" s="1192"/>
      <c r="B141" s="2077" t="s">
        <v>2359</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545</v>
      </c>
      <c r="AI141" s="2080"/>
      <c r="AJ141" s="2080"/>
      <c r="AK141" s="2080"/>
      <c r="AL141" s="2080"/>
      <c r="AM141" s="2080"/>
      <c r="AN141" s="2080"/>
      <c r="AO141" s="2080"/>
      <c r="AP141" s="2080"/>
      <c r="AQ141" s="2080"/>
      <c r="AR141" s="2080"/>
      <c r="AS141" s="2080"/>
      <c r="AT141" s="2080"/>
      <c r="AU141" s="2080"/>
      <c r="AV141" s="2080"/>
      <c r="AW141" s="2080"/>
      <c r="AX141" s="2081"/>
      <c r="AY141" s="1192"/>
      <c r="AZ141" s="1192"/>
      <c r="BA141" s="1192"/>
      <c r="BB141" s="1192"/>
      <c r="BC141" s="1192"/>
      <c r="BD141" s="1192"/>
      <c r="BE141" s="1196"/>
    </row>
    <row r="142" spans="1:57" ht="15.75" customHeight="1">
      <c r="A142" s="1192"/>
      <c r="B142" s="2082" t="s">
        <v>2358</v>
      </c>
      <c r="C142" s="2083"/>
      <c r="D142" s="2083"/>
      <c r="E142" s="2083"/>
      <c r="F142" s="2083"/>
      <c r="G142" s="2083"/>
      <c r="H142" s="2083"/>
      <c r="I142" s="2083"/>
      <c r="J142" s="2083"/>
      <c r="K142" s="2083"/>
      <c r="L142" s="2083"/>
      <c r="M142" s="2083"/>
      <c r="N142" s="2083"/>
      <c r="O142" s="2083"/>
      <c r="P142" s="2083"/>
      <c r="Q142" s="2083"/>
      <c r="R142" s="2084" t="s">
        <v>2357</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2"/>
      <c r="AZ142" s="1192"/>
      <c r="BA142" s="1192"/>
      <c r="BB142" s="1192"/>
      <c r="BC142" s="1192" t="s">
        <v>249</v>
      </c>
      <c r="BD142" s="1192"/>
      <c r="BE142" s="1196"/>
    </row>
    <row r="143" spans="1:57" ht="15.75" customHeight="1">
      <c r="A143" s="1192"/>
      <c r="B143" s="2086" t="s">
        <v>2356</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2"/>
      <c r="AZ143" s="1192"/>
      <c r="BA143" s="1192"/>
      <c r="BB143" s="1192"/>
      <c r="BC143" s="1192"/>
      <c r="BD143" s="1192"/>
      <c r="BE143" s="1196"/>
    </row>
    <row r="144" spans="1:57" ht="15.75" customHeight="1">
      <c r="A144" s="1192"/>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2"/>
      <c r="AZ144" s="1192"/>
      <c r="BA144" s="1192"/>
      <c r="BB144" s="1192"/>
      <c r="BC144" s="1192"/>
      <c r="BD144" s="1192"/>
      <c r="BE144" s="1196"/>
    </row>
    <row r="145" spans="1:57" ht="15.75" customHeight="1">
      <c r="A145" s="1192"/>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2"/>
      <c r="AZ145" s="1192"/>
      <c r="BA145" s="1192"/>
      <c r="BB145" s="1192"/>
      <c r="BC145" s="1192"/>
      <c r="BD145" s="1192"/>
      <c r="BE145" s="1196"/>
    </row>
    <row r="146" spans="1:57" ht="15.75" customHeight="1">
      <c r="A146" s="1192"/>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2"/>
      <c r="AZ146" s="1192"/>
      <c r="BA146" s="1192"/>
      <c r="BB146" s="1192"/>
      <c r="BC146" s="1192"/>
      <c r="BD146" s="1192"/>
      <c r="BE146" s="1196"/>
    </row>
    <row r="147" spans="1:57" ht="15.75" customHeight="1">
      <c r="A147" s="1192"/>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2"/>
      <c r="AZ147" s="1192"/>
      <c r="BA147" s="1192"/>
      <c r="BB147" s="1192"/>
      <c r="BC147" s="1192"/>
      <c r="BD147" s="1192"/>
      <c r="BE147" s="1196"/>
    </row>
    <row r="148" spans="1:57" ht="15.75" customHeight="1">
      <c r="A148" s="1192"/>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2"/>
      <c r="AZ148" s="1192"/>
      <c r="BA148" s="1192"/>
      <c r="BB148" s="1192"/>
      <c r="BC148" s="1192"/>
      <c r="BD148" s="1192"/>
      <c r="BE148" s="1196"/>
    </row>
    <row r="149" spans="1:57" ht="15.75" customHeight="1">
      <c r="A149" s="1192"/>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2"/>
      <c r="AZ149" s="1192"/>
      <c r="BA149" s="1192"/>
      <c r="BB149" s="1192"/>
      <c r="BC149" s="1192"/>
      <c r="BD149" s="1192"/>
      <c r="BE149" s="1196"/>
    </row>
    <row r="150" spans="1:57" ht="15.75" customHeight="1">
      <c r="A150" s="1192"/>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2"/>
      <c r="AZ150" s="1192"/>
      <c r="BA150" s="1192"/>
      <c r="BB150" s="1192"/>
      <c r="BC150" s="1192"/>
      <c r="BD150" s="1192"/>
      <c r="BE150" s="1196"/>
    </row>
    <row r="151" spans="1:57" ht="15.75" customHeight="1">
      <c r="A151" s="1192"/>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2"/>
      <c r="AZ151" s="1192"/>
      <c r="BA151" s="1192"/>
      <c r="BB151" s="1192"/>
      <c r="BC151" s="1192"/>
      <c r="BD151" s="1192"/>
      <c r="BE151" s="1196"/>
    </row>
    <row r="152" spans="1:57" ht="15.75" customHeight="1" thickBot="1">
      <c r="A152" s="1192"/>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9" t="s">
        <v>2353</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2"/>
      <c r="W156" s="1194"/>
      <c r="X156" s="2069" t="s">
        <v>2352</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7"/>
      <c r="C157" s="2038"/>
      <c r="D157" s="2038"/>
      <c r="E157" s="2038"/>
      <c r="F157" s="2038"/>
      <c r="G157" s="2038"/>
      <c r="H157" s="2038"/>
      <c r="I157" s="2075" t="s">
        <v>2350</v>
      </c>
      <c r="J157" s="2075"/>
      <c r="K157" s="2075"/>
      <c r="L157" s="2075"/>
      <c r="M157" s="2075"/>
      <c r="N157" s="2075"/>
      <c r="O157" s="2075"/>
      <c r="P157" s="2075" t="s">
        <v>2351</v>
      </c>
      <c r="Q157" s="2075"/>
      <c r="R157" s="2075"/>
      <c r="S157" s="2075"/>
      <c r="T157" s="2075"/>
      <c r="U157" s="2076"/>
      <c r="V157" s="1192"/>
      <c r="W157" s="1192"/>
      <c r="X157" s="2037"/>
      <c r="Y157" s="2038"/>
      <c r="Z157" s="2038"/>
      <c r="AA157" s="2038"/>
      <c r="AB157" s="2038"/>
      <c r="AC157" s="2038"/>
      <c r="AD157" s="2038"/>
      <c r="AE157" s="2075" t="s">
        <v>2350</v>
      </c>
      <c r="AF157" s="2075"/>
      <c r="AG157" s="2075"/>
      <c r="AH157" s="2075"/>
      <c r="AI157" s="2075"/>
      <c r="AJ157" s="2075"/>
      <c r="AK157" s="2075"/>
      <c r="AL157" s="2075" t="s">
        <v>2349</v>
      </c>
      <c r="AM157" s="2075"/>
      <c r="AN157" s="2075"/>
      <c r="AO157" s="2075"/>
      <c r="AP157" s="2075"/>
      <c r="AQ157" s="2076"/>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2"/>
      <c r="W158" s="1192"/>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1" t="s">
        <v>2348</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2"/>
      <c r="W159" s="1192"/>
      <c r="X159" s="2065" t="s">
        <v>2348</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5" t="s">
        <v>2347</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9" t="s">
        <v>2346</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7" t="s">
        <v>2331</v>
      </c>
      <c r="D163" s="2038"/>
      <c r="E163" s="2038"/>
      <c r="F163" s="2038"/>
      <c r="G163" s="2038"/>
      <c r="H163" s="2038"/>
      <c r="I163" s="2038"/>
      <c r="J163" s="2038"/>
      <c r="K163" s="2038"/>
      <c r="L163" s="2038"/>
      <c r="M163" s="2038"/>
      <c r="N163" s="2038"/>
      <c r="O163" s="2038"/>
      <c r="P163" s="2038"/>
      <c r="Q163" s="2038" t="s">
        <v>2345</v>
      </c>
      <c r="R163" s="2038"/>
      <c r="S163" s="2038"/>
      <c r="T163" s="2070" t="s">
        <v>2344</v>
      </c>
      <c r="U163" s="2070"/>
      <c r="V163" s="2070"/>
      <c r="W163" s="2070"/>
      <c r="X163" s="2070"/>
      <c r="Y163" s="2070"/>
      <c r="Z163" s="2070"/>
      <c r="AA163" s="2070"/>
      <c r="AB163" s="2038" t="s">
        <v>2343</v>
      </c>
      <c r="AC163" s="2038"/>
      <c r="AD163" s="2038"/>
      <c r="AE163" s="2038"/>
      <c r="AF163" s="2038"/>
      <c r="AG163" s="203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2" t="s">
        <v>2342</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2" t="s">
        <v>2341</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2" t="s">
        <v>2340</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2" t="s">
        <v>2339</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2" t="s">
        <v>169</v>
      </c>
      <c r="D168" s="2053"/>
      <c r="E168" s="2053"/>
      <c r="F168" s="2054" t="s">
        <v>2320</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2" t="s">
        <v>169</v>
      </c>
      <c r="D169" s="2053"/>
      <c r="E169" s="2053"/>
      <c r="F169" s="2054" t="s">
        <v>2320</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8" t="s">
        <v>169</v>
      </c>
      <c r="D170" s="2059"/>
      <c r="E170" s="2059"/>
      <c r="F170" s="2060" t="s">
        <v>2320</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3" t="s">
        <v>2338</v>
      </c>
      <c r="D172" s="2024"/>
      <c r="E172" s="2024"/>
      <c r="F172" s="2024"/>
      <c r="G172" s="2024"/>
      <c r="H172" s="2024"/>
      <c r="I172" s="2024"/>
      <c r="J172" s="2024"/>
      <c r="K172" s="2024"/>
      <c r="L172" s="2024"/>
      <c r="M172" s="2024"/>
      <c r="N172" s="2033"/>
      <c r="O172" s="1192"/>
      <c r="P172" s="2034" t="s">
        <v>2337</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7" t="s">
        <v>2336</v>
      </c>
      <c r="D173" s="2038"/>
      <c r="E173" s="2038"/>
      <c r="F173" s="2038"/>
      <c r="G173" s="2038"/>
      <c r="H173" s="2038"/>
      <c r="I173" s="2038" t="s">
        <v>2335</v>
      </c>
      <c r="J173" s="2038"/>
      <c r="K173" s="2038"/>
      <c r="L173" s="2038"/>
      <c r="M173" s="2038"/>
      <c r="N173" s="2039"/>
      <c r="O173" s="1192"/>
      <c r="P173" s="2040" t="s">
        <v>2334</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5"/>
      <c r="D174" s="1986"/>
      <c r="E174" s="1986"/>
      <c r="F174" s="1986"/>
      <c r="G174" s="1986"/>
      <c r="H174" s="1986"/>
      <c r="I174" s="2046"/>
      <c r="J174" s="2046"/>
      <c r="K174" s="2046"/>
      <c r="L174" s="2046"/>
      <c r="M174" s="2046"/>
      <c r="N174" s="2047"/>
      <c r="O174" s="1192"/>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5"/>
      <c r="D175" s="1986"/>
      <c r="E175" s="1986"/>
      <c r="F175" s="1986"/>
      <c r="G175" s="1986"/>
      <c r="H175" s="1986"/>
      <c r="I175" s="2046"/>
      <c r="J175" s="2046"/>
      <c r="K175" s="2046"/>
      <c r="L175" s="2046"/>
      <c r="M175" s="2046"/>
      <c r="N175" s="2047"/>
      <c r="O175" s="1192"/>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5"/>
      <c r="D176" s="1986"/>
      <c r="E176" s="1986"/>
      <c r="F176" s="1986"/>
      <c r="G176" s="1986"/>
      <c r="H176" s="1986"/>
      <c r="I176" s="2046"/>
      <c r="J176" s="2046"/>
      <c r="K176" s="2046"/>
      <c r="L176" s="2046"/>
      <c r="M176" s="2046"/>
      <c r="N176" s="2047"/>
      <c r="O176" s="1192"/>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5"/>
      <c r="D177" s="1986"/>
      <c r="E177" s="1986"/>
      <c r="F177" s="1986"/>
      <c r="G177" s="1986"/>
      <c r="H177" s="1986"/>
      <c r="I177" s="2046"/>
      <c r="J177" s="2046"/>
      <c r="K177" s="2046"/>
      <c r="L177" s="2046"/>
      <c r="M177" s="2046"/>
      <c r="N177" s="2047"/>
      <c r="O177" s="1192"/>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5"/>
      <c r="D178" s="1986"/>
      <c r="E178" s="1986"/>
      <c r="F178" s="1986"/>
      <c r="G178" s="1986"/>
      <c r="H178" s="1986"/>
      <c r="I178" s="2046"/>
      <c r="J178" s="2046"/>
      <c r="K178" s="2046"/>
      <c r="L178" s="2046"/>
      <c r="M178" s="2046"/>
      <c r="N178" s="2047"/>
      <c r="O178" s="1192"/>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5"/>
      <c r="D179" s="1986"/>
      <c r="E179" s="1986"/>
      <c r="F179" s="1986"/>
      <c r="G179" s="1986"/>
      <c r="H179" s="1986"/>
      <c r="I179" s="2046"/>
      <c r="J179" s="2046"/>
      <c r="K179" s="2046"/>
      <c r="L179" s="2046"/>
      <c r="M179" s="2046"/>
      <c r="N179" s="2047"/>
      <c r="O179" s="1192"/>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8"/>
      <c r="D180" s="2049"/>
      <c r="E180" s="2049"/>
      <c r="F180" s="2049"/>
      <c r="G180" s="2049"/>
      <c r="H180" s="2049"/>
      <c r="I180" s="2050"/>
      <c r="J180" s="2050"/>
      <c r="K180" s="2050"/>
      <c r="L180" s="2050"/>
      <c r="M180" s="2050"/>
      <c r="N180" s="2051"/>
      <c r="O180" s="1192"/>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4" t="s">
        <v>2333</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2"/>
      <c r="AG182" s="1192"/>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2"/>
      <c r="B183" s="1192"/>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2"/>
      <c r="AG183" s="1192"/>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2"/>
      <c r="B184" s="1192"/>
      <c r="C184" s="2023" t="s">
        <v>2331</v>
      </c>
      <c r="D184" s="2024"/>
      <c r="E184" s="2024"/>
      <c r="F184" s="2024"/>
      <c r="G184" s="2024"/>
      <c r="H184" s="2024"/>
      <c r="I184" s="2024"/>
      <c r="J184" s="2024"/>
      <c r="K184" s="2024"/>
      <c r="L184" s="2024"/>
      <c r="M184" s="2024"/>
      <c r="N184" s="2024" t="s">
        <v>2332</v>
      </c>
      <c r="O184" s="2024"/>
      <c r="P184" s="2024"/>
      <c r="Q184" s="2024"/>
      <c r="R184" s="2024"/>
      <c r="S184" s="2024"/>
      <c r="T184" s="2024"/>
      <c r="U184" s="2025" t="s">
        <v>2331</v>
      </c>
      <c r="V184" s="2025"/>
      <c r="W184" s="2025"/>
      <c r="X184" s="2025"/>
      <c r="Y184" s="2025"/>
      <c r="Z184" s="2025"/>
      <c r="AA184" s="2025"/>
      <c r="AB184" s="2025"/>
      <c r="AC184" s="2025"/>
      <c r="AD184" s="2025"/>
      <c r="AE184" s="2026"/>
      <c r="AF184" s="1192"/>
      <c r="AG184" s="1192"/>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2"/>
      <c r="B185" s="1192"/>
      <c r="C185" s="2002" t="s">
        <v>2330</v>
      </c>
      <c r="D185" s="2003"/>
      <c r="E185" s="2003"/>
      <c r="F185" s="2003"/>
      <c r="G185" s="2003"/>
      <c r="H185" s="2003"/>
      <c r="I185" s="2003"/>
      <c r="J185" s="2003"/>
      <c r="K185" s="2003"/>
      <c r="L185" s="2003"/>
      <c r="M185" s="2003"/>
      <c r="N185" s="2013">
        <f>'Sources and Uses Budget'!B105</f>
        <v>34788390</v>
      </c>
      <c r="O185" s="2013"/>
      <c r="P185" s="2013"/>
      <c r="Q185" s="2013"/>
      <c r="R185" s="2013"/>
      <c r="S185" s="2013"/>
      <c r="T185" s="2013"/>
      <c r="U185" s="2027"/>
      <c r="V185" s="2027"/>
      <c r="W185" s="2027"/>
      <c r="X185" s="2027"/>
      <c r="Y185" s="2027"/>
      <c r="Z185" s="2027"/>
      <c r="AA185" s="2027"/>
      <c r="AB185" s="2027"/>
      <c r="AC185" s="2027"/>
      <c r="AD185" s="2027"/>
      <c r="AE185" s="2028"/>
      <c r="AF185" s="1192"/>
      <c r="AG185" s="1192"/>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2"/>
      <c r="B186" s="1192"/>
      <c r="C186" s="2002" t="s">
        <v>2329</v>
      </c>
      <c r="D186" s="2003"/>
      <c r="E186" s="2003"/>
      <c r="F186" s="2003"/>
      <c r="G186" s="2003"/>
      <c r="H186" s="2003"/>
      <c r="I186" s="2003"/>
      <c r="J186" s="2003"/>
      <c r="K186" s="2003"/>
      <c r="L186" s="2003"/>
      <c r="M186" s="2003"/>
      <c r="N186" s="2013">
        <f>N185/J29</f>
        <v>341062.64705882355</v>
      </c>
      <c r="O186" s="2013"/>
      <c r="P186" s="2013"/>
      <c r="Q186" s="2013"/>
      <c r="R186" s="2013"/>
      <c r="S186" s="2013"/>
      <c r="T186" s="2013"/>
      <c r="U186" s="1232"/>
      <c r="V186" s="1232"/>
      <c r="W186" s="1232"/>
      <c r="X186" s="1232"/>
      <c r="Y186" s="1232"/>
      <c r="Z186" s="1232"/>
      <c r="AA186" s="1232"/>
      <c r="AB186" s="1232"/>
      <c r="AC186" s="1232"/>
      <c r="AD186" s="1232"/>
      <c r="AE186" s="1233"/>
      <c r="AF186" s="1192"/>
      <c r="AG186" s="1192"/>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2"/>
      <c r="B187" s="1192"/>
      <c r="C187" s="2029" t="s">
        <v>2328</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2"/>
      <c r="AG187" s="1192"/>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2"/>
      <c r="B188" s="1192"/>
      <c r="C188" s="2002" t="s">
        <v>2327</v>
      </c>
      <c r="D188" s="2003"/>
      <c r="E188" s="2003"/>
      <c r="F188" s="2003"/>
      <c r="G188" s="2003"/>
      <c r="H188" s="2003"/>
      <c r="I188" s="2003"/>
      <c r="J188" s="2003"/>
      <c r="K188" s="2003"/>
      <c r="L188" s="2003"/>
      <c r="M188" s="2003"/>
      <c r="N188" s="2032">
        <f>SUM('Sources and Uses Budget'!B85:B86)</f>
        <v>894609</v>
      </c>
      <c r="O188" s="2032"/>
      <c r="P188" s="2032"/>
      <c r="Q188" s="2032"/>
      <c r="R188" s="2032"/>
      <c r="S188" s="2032"/>
      <c r="T188" s="2032"/>
      <c r="U188" s="1989"/>
      <c r="V188" s="1989"/>
      <c r="W188" s="1989"/>
      <c r="X188" s="1989"/>
      <c r="Y188" s="1989"/>
      <c r="Z188" s="1989"/>
      <c r="AA188" s="1989"/>
      <c r="AB188" s="1989"/>
      <c r="AC188" s="1989"/>
      <c r="AD188" s="1989"/>
      <c r="AE188" s="1990"/>
      <c r="AF188" s="1192"/>
      <c r="AG188" s="1192"/>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2"/>
      <c r="B189" s="1192"/>
      <c r="C189" s="2002" t="s">
        <v>2326</v>
      </c>
      <c r="D189" s="2003"/>
      <c r="E189" s="2003"/>
      <c r="F189" s="2003"/>
      <c r="G189" s="2003"/>
      <c r="H189" s="2003"/>
      <c r="I189" s="2003"/>
      <c r="J189" s="2003"/>
      <c r="K189" s="2003"/>
      <c r="L189" s="2003"/>
      <c r="M189" s="2003"/>
      <c r="N189" s="2032">
        <f>'Sources and Uses Budget'!B8</f>
        <v>4587250</v>
      </c>
      <c r="O189" s="2032"/>
      <c r="P189" s="2032"/>
      <c r="Q189" s="2032"/>
      <c r="R189" s="2032"/>
      <c r="S189" s="2032"/>
      <c r="T189" s="2032"/>
      <c r="U189" s="1989"/>
      <c r="V189" s="1989"/>
      <c r="W189" s="1989"/>
      <c r="X189" s="1989"/>
      <c r="Y189" s="1989"/>
      <c r="Z189" s="1989"/>
      <c r="AA189" s="1989"/>
      <c r="AB189" s="1989"/>
      <c r="AC189" s="1989"/>
      <c r="AD189" s="1989"/>
      <c r="AE189" s="1990"/>
      <c r="AF189" s="1192"/>
      <c r="AG189" s="1192"/>
      <c r="AH189" s="1999" t="s">
        <v>2324</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2"/>
      <c r="B190" s="1192"/>
      <c r="C190" s="2002" t="s">
        <v>2325</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2"/>
      <c r="AG190" s="1192"/>
      <c r="AH190" s="2004" t="s">
        <v>2324</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2"/>
      <c r="B191" s="1192"/>
      <c r="C191" s="2002" t="s">
        <v>2323</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2"/>
      <c r="AG191" s="1192"/>
      <c r="AH191" s="2020" t="s">
        <v>2322</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2"/>
      <c r="B192" s="1192"/>
      <c r="C192" s="1994" t="s">
        <v>299</v>
      </c>
      <c r="D192" s="1995"/>
      <c r="E192" s="1987" t="s">
        <v>2320</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2"/>
      <c r="AG192" s="1192"/>
      <c r="AH192" s="1996" t="s">
        <v>2321</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2"/>
      <c r="B193" s="1192"/>
      <c r="C193" s="1985" t="s">
        <v>299</v>
      </c>
      <c r="D193" s="1986"/>
      <c r="E193" s="1987" t="s">
        <v>2320</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1"/>
      <c r="BD193" s="1992"/>
      <c r="BE193" s="1993"/>
    </row>
    <row r="194" spans="1:57" ht="15.75" customHeight="1" thickBot="1">
      <c r="A194" s="1192"/>
      <c r="B194" s="1192"/>
      <c r="C194" s="1973" t="s">
        <v>299</v>
      </c>
      <c r="D194" s="1974"/>
      <c r="E194" s="1975" t="s">
        <v>2320</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2"/>
      <c r="AG194" s="1192"/>
      <c r="AH194" s="1982" t="s">
        <v>2319</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3"/>
      <c r="BD194" s="1173"/>
      <c r="BE194" s="1236"/>
    </row>
    <row r="195" spans="1:57" ht="15.75" customHeight="1">
      <c r="A195" s="1192"/>
      <c r="B195" s="1192"/>
      <c r="C195" s="1956" t="s">
        <v>2318</v>
      </c>
      <c r="D195" s="1957"/>
      <c r="E195" s="1957"/>
      <c r="F195" s="1957"/>
      <c r="G195" s="1957"/>
      <c r="H195" s="1957"/>
      <c r="I195" s="1957"/>
      <c r="J195" s="1957"/>
      <c r="K195" s="1957"/>
      <c r="L195" s="1957"/>
      <c r="M195" s="1957"/>
      <c r="N195" s="1958">
        <f>SUM(N187:T194)</f>
        <v>5481859</v>
      </c>
      <c r="O195" s="1958"/>
      <c r="P195" s="1958"/>
      <c r="Q195" s="1958"/>
      <c r="R195" s="1958"/>
      <c r="S195" s="1958"/>
      <c r="T195" s="1959"/>
      <c r="U195" s="1192"/>
      <c r="V195" s="1192"/>
      <c r="W195" s="1192"/>
      <c r="X195" s="1192"/>
      <c r="Y195" s="1192"/>
      <c r="Z195" s="1192"/>
      <c r="AA195" s="1192"/>
      <c r="AB195" s="1192"/>
      <c r="AC195" s="1192"/>
      <c r="AD195" s="1192"/>
      <c r="AE195" s="1192"/>
      <c r="AF195" s="1192"/>
      <c r="AG195" s="1192"/>
      <c r="AH195" s="1960" t="s">
        <v>2317</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2"/>
      <c r="B196" s="1192"/>
      <c r="C196" s="1966" t="s">
        <v>2316</v>
      </c>
      <c r="D196" s="1967"/>
      <c r="E196" s="1967"/>
      <c r="F196" s="1967"/>
      <c r="G196" s="1967"/>
      <c r="H196" s="1967"/>
      <c r="I196" s="1967"/>
      <c r="J196" s="1967"/>
      <c r="K196" s="1967"/>
      <c r="L196" s="1967"/>
      <c r="M196" s="1967"/>
      <c r="N196" s="1968">
        <f>(N185-N195)/J29</f>
        <v>287318.93137254904</v>
      </c>
      <c r="O196" s="1969"/>
      <c r="P196" s="1969"/>
      <c r="Q196" s="1969"/>
      <c r="R196" s="1969"/>
      <c r="S196" s="1969"/>
      <c r="T196" s="1970"/>
      <c r="U196" s="1197"/>
      <c r="V196" s="1192"/>
      <c r="W196" s="1192"/>
      <c r="X196" s="1192"/>
      <c r="Y196" s="1192"/>
      <c r="Z196" s="1192"/>
      <c r="AA196" s="1192"/>
      <c r="AB196" s="1192"/>
      <c r="AC196" s="1192"/>
      <c r="AD196" s="1192"/>
      <c r="AE196" s="1192"/>
      <c r="AF196" s="1192"/>
      <c r="AG196" s="1192"/>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1" t="s">
        <v>2315</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4" t="s">
        <v>2314</v>
      </c>
      <c r="D200" s="1954"/>
      <c r="E200" s="1954"/>
      <c r="F200" s="1954"/>
      <c r="G200" s="1954"/>
      <c r="H200" s="1954"/>
      <c r="I200" s="1954"/>
      <c r="J200" s="1954"/>
      <c r="K200" s="1954"/>
      <c r="L200" s="1954"/>
      <c r="M200" s="1954"/>
      <c r="N200" s="1954"/>
      <c r="O200" s="1955" t="s">
        <v>2313</v>
      </c>
      <c r="P200" s="1955"/>
      <c r="Q200" s="1955"/>
      <c r="R200" s="1955"/>
      <c r="S200" s="1955"/>
      <c r="T200" s="1955"/>
      <c r="U200" s="1955"/>
      <c r="V200" s="1955"/>
      <c r="W200" s="1955"/>
      <c r="X200" s="1955" t="s">
        <v>2312</v>
      </c>
      <c r="Y200" s="1955"/>
      <c r="Z200" s="1955"/>
      <c r="AA200" s="1955"/>
      <c r="AB200" s="1955"/>
      <c r="AC200" s="1955"/>
      <c r="AD200" s="1955"/>
      <c r="AE200" s="195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6" t="s">
        <v>2311</v>
      </c>
      <c r="D201" s="1946"/>
      <c r="E201" s="1946"/>
      <c r="F201" s="1946"/>
      <c r="G201" s="1946"/>
      <c r="H201" s="1946"/>
      <c r="I201" s="1946"/>
      <c r="J201" s="1946"/>
      <c r="K201" s="1946"/>
      <c r="L201" s="1946"/>
      <c r="M201" s="1946"/>
      <c r="N201" s="1946"/>
      <c r="O201" s="1947" t="s">
        <v>2310</v>
      </c>
      <c r="P201" s="1947"/>
      <c r="Q201" s="1947"/>
      <c r="R201" s="1947"/>
      <c r="S201" s="1947"/>
      <c r="T201" s="1947"/>
      <c r="U201" s="1947"/>
      <c r="V201" s="1947"/>
      <c r="W201" s="1947"/>
      <c r="X201" s="1948">
        <v>0.03</v>
      </c>
      <c r="Y201" s="1948"/>
      <c r="Z201" s="1948"/>
      <c r="AA201" s="1948"/>
      <c r="AB201" s="1948"/>
      <c r="AC201" s="1948"/>
      <c r="AD201" s="1948"/>
      <c r="AE201" s="194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6" t="s">
        <v>854</v>
      </c>
      <c r="D202" s="1946"/>
      <c r="E202" s="1946"/>
      <c r="F202" s="1946"/>
      <c r="G202" s="1946"/>
      <c r="H202" s="1946"/>
      <c r="I202" s="1946"/>
      <c r="J202" s="1946"/>
      <c r="K202" s="1946"/>
      <c r="L202" s="1946"/>
      <c r="M202" s="1946"/>
      <c r="N202" s="1946"/>
      <c r="O202" s="1947" t="s">
        <v>2310</v>
      </c>
      <c r="P202" s="1947"/>
      <c r="Q202" s="1947"/>
      <c r="R202" s="1947"/>
      <c r="S202" s="1947"/>
      <c r="T202" s="1947"/>
      <c r="U202" s="1947"/>
      <c r="V202" s="1947"/>
      <c r="W202" s="1947"/>
      <c r="X202" s="1948">
        <v>0.03</v>
      </c>
      <c r="Y202" s="1948"/>
      <c r="Z202" s="1948"/>
      <c r="AA202" s="1948"/>
      <c r="AB202" s="1948"/>
      <c r="AC202" s="1948"/>
      <c r="AD202" s="1948"/>
      <c r="AE202" s="194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6" t="s">
        <v>2309</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2308</v>
      </c>
      <c r="Y203" s="1950"/>
      <c r="Z203" s="1950"/>
      <c r="AA203" s="1950"/>
      <c r="AB203" s="1950"/>
      <c r="AC203" s="1950"/>
      <c r="AD203" s="1950"/>
      <c r="AE203" s="195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0" t="s">
        <v>2307</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1" t="s">
        <v>2306</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4" t="s">
        <v>2305</v>
      </c>
      <c r="D207" s="1925"/>
      <c r="E207" s="1925"/>
      <c r="F207" s="1926"/>
      <c r="G207" s="1930" t="s">
        <v>2304</v>
      </c>
      <c r="H207" s="1925"/>
      <c r="I207" s="1925"/>
      <c r="J207" s="1925"/>
      <c r="K207" s="1925"/>
      <c r="L207" s="1925"/>
      <c r="M207" s="1925"/>
      <c r="N207" s="1925"/>
      <c r="O207" s="1926"/>
      <c r="P207" s="1932" t="s">
        <v>2303</v>
      </c>
      <c r="Q207" s="1933"/>
      <c r="R207" s="1933"/>
      <c r="S207" s="1933"/>
      <c r="T207" s="1934"/>
      <c r="U207" s="1938" t="s">
        <v>2302</v>
      </c>
      <c r="V207" s="1939"/>
      <c r="W207" s="1939"/>
      <c r="X207" s="1940"/>
      <c r="Y207" s="1938" t="s">
        <v>2301</v>
      </c>
      <c r="Z207" s="1939"/>
      <c r="AA207" s="1939"/>
      <c r="AB207" s="1940"/>
      <c r="AC207" s="1938" t="s">
        <v>2300</v>
      </c>
      <c r="AD207" s="1939"/>
      <c r="AE207" s="1939"/>
      <c r="AF207" s="1940"/>
      <c r="AG207" s="1930" t="s">
        <v>2299</v>
      </c>
      <c r="AH207" s="1925"/>
      <c r="AI207" s="1925"/>
      <c r="AJ207" s="1925"/>
      <c r="AK207" s="194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5" t="s">
        <v>2298</v>
      </c>
      <c r="D216" s="1906"/>
      <c r="E216" s="1906"/>
      <c r="F216" s="1906"/>
      <c r="G216" s="1906"/>
      <c r="H216" s="1906"/>
      <c r="I216" s="1906"/>
      <c r="J216" s="1906"/>
      <c r="K216" s="1906"/>
      <c r="L216" s="1906"/>
      <c r="M216" s="1906"/>
      <c r="N216" s="1906"/>
      <c r="O216" s="1906"/>
      <c r="P216" s="1907"/>
      <c r="Q216" s="1907"/>
      <c r="R216" s="1907"/>
      <c r="S216" s="1907"/>
      <c r="T216" s="1907"/>
      <c r="U216" s="1908">
        <v>0</v>
      </c>
      <c r="V216" s="1908"/>
      <c r="W216" s="1908"/>
      <c r="X216" s="1908"/>
      <c r="Y216" s="1908">
        <v>0</v>
      </c>
      <c r="Z216" s="1908"/>
      <c r="AA216" s="1908"/>
      <c r="AB216" s="1908"/>
      <c r="AC216" s="1909">
        <v>0</v>
      </c>
      <c r="AD216" s="1909"/>
      <c r="AE216" s="1909"/>
      <c r="AF216" s="1909"/>
      <c r="AG216" s="1910"/>
      <c r="AH216" s="1911"/>
      <c r="AI216" s="1911"/>
      <c r="AJ216" s="1911"/>
      <c r="AK216" s="19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9" t="s">
        <v>2296</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6"/>
    </row>
    <row r="222" spans="1:57" ht="15.75" customHeight="1">
      <c r="A222" s="1192"/>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6"/>
    </row>
    <row r="223" spans="1:57" ht="15.75" customHeight="1">
      <c r="A223" s="1192"/>
      <c r="B223" s="1895" t="s">
        <v>2295</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6"/>
    </row>
    <row r="224" spans="1:57" ht="15.75" customHeight="1">
      <c r="A224" s="1192"/>
      <c r="B224" s="1895" t="s">
        <v>2294</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8" t="s">
        <v>2293</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1" t="s">
        <v>2291</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4" t="s">
        <v>2290</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2"/>
      <c r="BB232" s="1192"/>
      <c r="BC232" s="1192"/>
      <c r="BD232" s="1196"/>
      <c r="BE232" s="1196"/>
    </row>
    <row r="233" spans="1:57" ht="15.75" customHeight="1">
      <c r="A233" s="1192"/>
      <c r="B233" s="1191"/>
      <c r="C233" s="1192"/>
      <c r="D233" s="1192"/>
      <c r="E233" s="1192"/>
      <c r="F233" s="1192"/>
      <c r="G233" s="1192"/>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2"/>
      <c r="BB233" s="1192"/>
      <c r="BC233" s="1192"/>
      <c r="BD233" s="1196"/>
      <c r="BE233" s="1196"/>
    </row>
    <row r="234" spans="1:57" ht="15.75" customHeight="1">
      <c r="A234" s="1192"/>
      <c r="B234" s="1191"/>
      <c r="C234" s="1192"/>
      <c r="D234" s="1192"/>
      <c r="E234" s="1192"/>
      <c r="F234" s="1192"/>
      <c r="G234" s="1192"/>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2"/>
      <c r="BB234" s="1192"/>
      <c r="BC234" s="1192"/>
      <c r="BD234" s="1196"/>
      <c r="BE234" s="1196"/>
    </row>
    <row r="235" spans="1:57" ht="15.75" customHeight="1">
      <c r="A235" s="1192"/>
      <c r="B235" s="1191"/>
      <c r="C235" s="1192"/>
      <c r="D235" s="1192"/>
      <c r="E235" s="1192"/>
      <c r="F235" s="1192"/>
      <c r="G235" s="1192"/>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5" t="s">
        <v>2289</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5" t="s">
        <v>2288</v>
      </c>
      <c r="I239" s="1875"/>
      <c r="J239" s="1875"/>
      <c r="K239" s="1875"/>
      <c r="L239" s="1243"/>
      <c r="M239" s="1243"/>
      <c r="N239" s="1243"/>
      <c r="O239" s="1243"/>
      <c r="P239" s="1243"/>
      <c r="Q239" s="1243"/>
      <c r="R239" s="1243"/>
      <c r="S239" s="1886"/>
      <c r="T239" s="1887"/>
      <c r="U239" s="1887"/>
      <c r="V239" s="1887"/>
      <c r="W239" s="1887"/>
      <c r="X239" s="1887"/>
      <c r="Y239" s="1887"/>
      <c r="Z239" s="1887"/>
      <c r="AA239" s="1887"/>
      <c r="AB239" s="1887"/>
      <c r="AC239" s="1887"/>
      <c r="AD239" s="1887"/>
      <c r="AE239" s="1887"/>
      <c r="AF239" s="1887"/>
      <c r="AG239" s="1887"/>
      <c r="AH239" s="1887"/>
      <c r="AI239" s="1887"/>
      <c r="AJ239" s="188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5" t="s">
        <v>2287</v>
      </c>
      <c r="I241" s="1875"/>
      <c r="J241" s="1875"/>
      <c r="K241" s="1245"/>
      <c r="L241" s="1243"/>
      <c r="M241" s="1243"/>
      <c r="N241" s="1243"/>
      <c r="O241" s="1243"/>
      <c r="P241" s="1243"/>
      <c r="Q241" s="1243"/>
      <c r="R241" s="1243"/>
      <c r="S241" s="1876"/>
      <c r="T241" s="1877"/>
      <c r="U241" s="1877"/>
      <c r="V241" s="1877"/>
      <c r="W241" s="1877"/>
      <c r="X241" s="1877"/>
      <c r="Y241" s="1877"/>
      <c r="Z241" s="1877"/>
      <c r="AA241" s="1877"/>
      <c r="AB241" s="1877"/>
      <c r="AC241" s="1877"/>
      <c r="AD241" s="1877"/>
      <c r="AE241" s="1877"/>
      <c r="AF241" s="1877"/>
      <c r="AG241" s="1877"/>
      <c r="AH241" s="1877"/>
      <c r="AI241" s="1877"/>
      <c r="AJ241" s="187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5" t="s">
        <v>441</v>
      </c>
      <c r="I243" s="1875"/>
      <c r="J243" s="1245"/>
      <c r="K243" s="1245"/>
      <c r="L243" s="1243"/>
      <c r="M243" s="1243"/>
      <c r="N243" s="1243"/>
      <c r="O243" s="1243"/>
      <c r="P243" s="1243"/>
      <c r="Q243" s="1243"/>
      <c r="R243" s="1243"/>
      <c r="S243" s="1876"/>
      <c r="T243" s="1877"/>
      <c r="U243" s="1877"/>
      <c r="V243" s="1877"/>
      <c r="W243" s="1877"/>
      <c r="X243" s="1877"/>
      <c r="Y243" s="1877"/>
      <c r="Z243" s="1877"/>
      <c r="AA243" s="1877"/>
      <c r="AB243" s="1877"/>
      <c r="AC243" s="1877"/>
      <c r="AD243" s="1877"/>
      <c r="AE243" s="1877"/>
      <c r="AF243" s="1877"/>
      <c r="AG243" s="1877"/>
      <c r="AH243" s="1877"/>
      <c r="AI243" s="1877"/>
      <c r="AJ243" s="187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9" t="s">
        <v>2286</v>
      </c>
      <c r="I245" s="1879"/>
      <c r="J245" s="1879"/>
      <c r="K245" s="1879"/>
      <c r="L245" s="1879"/>
      <c r="M245" s="1879"/>
      <c r="N245" s="1879"/>
      <c r="O245" s="1879"/>
      <c r="P245" s="1243"/>
      <c r="Q245" s="1243"/>
      <c r="R245" s="1243"/>
      <c r="S245" s="1876"/>
      <c r="T245" s="1877"/>
      <c r="U245" s="1877"/>
      <c r="V245" s="1877"/>
      <c r="W245" s="1877"/>
      <c r="X245" s="1877"/>
      <c r="Y245" s="1877"/>
      <c r="Z245" s="1877"/>
      <c r="AA245" s="1877"/>
      <c r="AB245" s="1877"/>
      <c r="AC245" s="1877"/>
      <c r="AD245" s="1877"/>
      <c r="AE245" s="1877"/>
      <c r="AF245" s="1877"/>
      <c r="AG245" s="1877"/>
      <c r="AH245" s="1877"/>
      <c r="AI245" s="1877"/>
      <c r="AJ245" s="187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0" t="s">
        <v>2285</v>
      </c>
      <c r="I247" s="1880"/>
      <c r="J247" s="1243"/>
      <c r="K247" s="1243"/>
      <c r="L247" s="1243"/>
      <c r="M247" s="1243"/>
      <c r="N247" s="1243"/>
      <c r="O247" s="1243"/>
      <c r="P247" s="1243"/>
      <c r="Q247" s="1243"/>
      <c r="R247" s="1243"/>
      <c r="S247" s="1881"/>
      <c r="T247" s="1882"/>
      <c r="U247" s="1882"/>
      <c r="V247" s="1882"/>
      <c r="W247" s="1882"/>
      <c r="X247" s="1882"/>
      <c r="Y247" s="1882"/>
      <c r="Z247" s="1882"/>
      <c r="AA247" s="1882"/>
      <c r="AB247" s="1882"/>
      <c r="AC247" s="1882"/>
      <c r="AD247" s="1882"/>
      <c r="AE247" s="1882"/>
      <c r="AF247" s="1882"/>
      <c r="AG247" s="1882"/>
      <c r="AH247" s="1882"/>
      <c r="AI247" s="1882"/>
      <c r="AJ247" s="188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364" t="s">
        <v>1300</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row>
    <row r="2" spans="1:42" s="537" customFormat="1" ht="12.7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5" t="s">
        <v>1305</v>
      </c>
      <c r="AF7" s="2345"/>
      <c r="AG7" s="2345"/>
      <c r="AH7" s="2345"/>
      <c r="AI7" s="2345"/>
      <c r="AJ7" s="2345"/>
      <c r="AK7" s="234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5" t="s">
        <v>591</v>
      </c>
      <c r="C13" s="233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6"/>
      <c r="AH13" s="2366"/>
      <c r="AI13" s="2366"/>
      <c r="AJ13" s="236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5" t="s">
        <v>591</v>
      </c>
      <c r="C16" s="2335"/>
      <c r="D16" s="548"/>
      <c r="E16" s="2346" t="s">
        <v>1307</v>
      </c>
      <c r="F16" s="2347"/>
      <c r="G16" s="2347"/>
      <c r="H16" s="2347"/>
      <c r="I16" s="2347"/>
      <c r="J16" s="2347"/>
      <c r="K16" s="2347"/>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8"/>
      <c r="AK16" s="541"/>
      <c r="AL16" s="541"/>
      <c r="AM16" s="541"/>
      <c r="AN16" s="536"/>
      <c r="AO16" s="551">
        <f>IF($B25="yes",20,0)</f>
        <v>0</v>
      </c>
      <c r="AP16" s="14"/>
    </row>
    <row r="17" spans="1:42" s="537" customFormat="1" ht="12.75" customHeight="1">
      <c r="A17" s="541"/>
      <c r="B17" s="541"/>
      <c r="C17" s="541"/>
      <c r="D17" s="552"/>
      <c r="E17" s="2349"/>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1"/>
      <c r="AK17" s="541"/>
      <c r="AL17" s="541"/>
      <c r="AM17" s="541"/>
      <c r="AN17" s="536"/>
      <c r="AO17" s="551">
        <f>IF($B28="yes",20,0)</f>
        <v>0</v>
      </c>
    </row>
    <row r="18" spans="1:42" s="537" customFormat="1" ht="12.75" customHeight="1">
      <c r="A18" s="541"/>
      <c r="B18" s="541"/>
      <c r="C18" s="541"/>
      <c r="D18" s="552"/>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7"/>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5" t="s">
        <v>591</v>
      </c>
      <c r="C22" s="2335"/>
      <c r="D22" s="548"/>
      <c r="E22" s="2371" t="s">
        <v>1310</v>
      </c>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3"/>
      <c r="AK22" s="541"/>
      <c r="AL22" s="541"/>
      <c r="AM22" s="541"/>
      <c r="AN22" s="536"/>
      <c r="AO22" s="551">
        <f>IF($B40="yes",14,0)</f>
        <v>0</v>
      </c>
    </row>
    <row r="23" spans="1:42" s="537" customFormat="1" ht="12.75" customHeight="1">
      <c r="A23" s="541"/>
      <c r="B23" s="541"/>
      <c r="C23" s="541"/>
      <c r="D23" s="551"/>
      <c r="E23" s="2374"/>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5" t="s">
        <v>591</v>
      </c>
      <c r="C25" s="2335"/>
      <c r="D25" s="548"/>
      <c r="E25" s="2336" t="s">
        <v>2035</v>
      </c>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8"/>
      <c r="AK25" s="541"/>
      <c r="AL25" s="541"/>
      <c r="AM25" s="541"/>
      <c r="AN25" s="536"/>
      <c r="AO25" s="551">
        <f>IF($B45="yes",6,0)</f>
        <v>0</v>
      </c>
    </row>
    <row r="26" spans="1:42" s="537" customFormat="1" ht="12.75" customHeight="1">
      <c r="A26" s="541"/>
      <c r="B26" s="541"/>
      <c r="C26" s="541"/>
      <c r="D26" s="551"/>
      <c r="E26" s="2339"/>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5" t="s">
        <v>591</v>
      </c>
      <c r="C28" s="2335"/>
      <c r="D28" s="548"/>
      <c r="E28" s="2359" t="s">
        <v>2252</v>
      </c>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35" t="s">
        <v>591</v>
      </c>
      <c r="C33" s="2335"/>
      <c r="D33" s="548"/>
      <c r="E33" s="2371" t="s">
        <v>2254</v>
      </c>
      <c r="F33" s="2372"/>
      <c r="G33" s="2372"/>
      <c r="H33" s="2372"/>
      <c r="I33" s="2372"/>
      <c r="J33" s="2372"/>
      <c r="K33" s="2372"/>
      <c r="L33" s="2372"/>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3"/>
      <c r="AK33" s="541"/>
      <c r="AL33" s="541"/>
      <c r="AM33" s="541"/>
      <c r="AN33" s="536"/>
      <c r="AO33" s="551"/>
    </row>
    <row r="34" spans="1:41" s="537" customFormat="1" ht="12.75" customHeight="1">
      <c r="A34" s="541"/>
      <c r="B34" s="541"/>
      <c r="C34" s="541"/>
      <c r="E34" s="2374"/>
      <c r="F34" s="2375"/>
      <c r="G34" s="2375"/>
      <c r="H34" s="2375"/>
      <c r="I34" s="2375"/>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5" t="s">
        <v>591</v>
      </c>
      <c r="C36" s="2335"/>
      <c r="D36" s="548"/>
      <c r="E36" s="2336" t="s">
        <v>2255</v>
      </c>
      <c r="F36" s="2337"/>
      <c r="G36" s="2337"/>
      <c r="H36" s="2337"/>
      <c r="I36" s="2337"/>
      <c r="J36" s="2337"/>
      <c r="K36" s="2337"/>
      <c r="L36" s="2337"/>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8"/>
      <c r="AK36" s="541"/>
      <c r="AL36" s="541"/>
      <c r="AM36" s="541"/>
      <c r="AN36" s="536"/>
    </row>
    <row r="37" spans="1:41" s="537" customFormat="1" ht="12.75" customHeight="1">
      <c r="A37" s="541"/>
      <c r="B37" s="541"/>
      <c r="C37" s="541"/>
      <c r="E37" s="2342"/>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4"/>
      <c r="AK37" s="541"/>
      <c r="AL37" s="541"/>
      <c r="AM37" s="541"/>
      <c r="AN37" s="536"/>
    </row>
    <row r="38" spans="1:41" s="537" customFormat="1" ht="12.75" customHeight="1">
      <c r="A38" s="541"/>
      <c r="B38" s="541"/>
      <c r="C38" s="541"/>
      <c r="E38" s="2339"/>
      <c r="F38" s="2340"/>
      <c r="G38" s="2340"/>
      <c r="H38" s="2340"/>
      <c r="I38" s="2340"/>
      <c r="J38" s="2340"/>
      <c r="K38" s="2340"/>
      <c r="L38" s="2340"/>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5" t="s">
        <v>591</v>
      </c>
      <c r="C40" s="2335"/>
      <c r="D40" s="548"/>
      <c r="E40" s="2336" t="s">
        <v>2253</v>
      </c>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8"/>
      <c r="AK40" s="541"/>
      <c r="AL40" s="541"/>
      <c r="AM40" s="541"/>
      <c r="AN40" s="536"/>
    </row>
    <row r="41" spans="1:41" s="537" customFormat="1" ht="12.75" customHeight="1">
      <c r="A41" s="541"/>
      <c r="B41" s="541"/>
      <c r="C41" s="541"/>
      <c r="E41" s="2339"/>
      <c r="F41" s="2340"/>
      <c r="G41" s="2340"/>
      <c r="H41" s="2340"/>
      <c r="I41" s="2340"/>
      <c r="J41" s="2340"/>
      <c r="K41" s="2340"/>
      <c r="L41" s="2340"/>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5" t="s">
        <v>591</v>
      </c>
      <c r="C45" s="2335"/>
      <c r="D45" s="1144"/>
      <c r="E45" s="2336" t="s">
        <v>2010</v>
      </c>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8"/>
      <c r="AK45" s="1144"/>
      <c r="AL45" s="541"/>
      <c r="AM45" s="541"/>
      <c r="AN45" s="536"/>
    </row>
    <row r="46" spans="1:41" s="537" customFormat="1" ht="12.75" customHeight="1">
      <c r="A46" s="541"/>
      <c r="B46" s="541"/>
      <c r="C46" s="541"/>
      <c r="E46" s="2342"/>
      <c r="F46" s="2343"/>
      <c r="G46" s="2343"/>
      <c r="H46" s="2343"/>
      <c r="I46" s="2343"/>
      <c r="J46" s="2343"/>
      <c r="K46" s="2343"/>
      <c r="L46" s="2343"/>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4"/>
      <c r="AK46" s="541"/>
      <c r="AL46" s="541"/>
      <c r="AM46" s="541"/>
      <c r="AN46" s="536"/>
    </row>
    <row r="47" spans="1:41" s="537" customFormat="1" ht="12.75" customHeight="1">
      <c r="A47" s="541"/>
      <c r="D47" s="548"/>
      <c r="E47" s="2339"/>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5" t="s">
        <v>591</v>
      </c>
      <c r="C52" s="2335"/>
      <c r="D52" s="541"/>
      <c r="E52" s="2336" t="s">
        <v>2015</v>
      </c>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8"/>
      <c r="AK52" s="541"/>
      <c r="AL52" s="541"/>
      <c r="AM52" s="541"/>
      <c r="AN52" s="536"/>
      <c r="AO52" s="560"/>
    </row>
    <row r="53" spans="1:50" s="537" customFormat="1" ht="12.75" customHeight="1">
      <c r="A53" s="541"/>
      <c r="D53" s="548"/>
      <c r="E53" s="2342"/>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4"/>
      <c r="AK53" s="541"/>
      <c r="AL53" s="541"/>
      <c r="AM53" s="541"/>
      <c r="AN53" s="536"/>
      <c r="AO53" s="560"/>
    </row>
    <row r="54" spans="1:50" s="537" customFormat="1" ht="12.75" customHeight="1">
      <c r="A54" s="541"/>
      <c r="D54" s="541"/>
      <c r="E54" s="2339"/>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5" t="s">
        <v>591</v>
      </c>
      <c r="C56" s="2335"/>
      <c r="D56" s="541"/>
      <c r="E56" s="2356" t="s">
        <v>2016</v>
      </c>
      <c r="F56" s="2357"/>
      <c r="G56" s="2357"/>
      <c r="H56" s="2357"/>
      <c r="I56" s="2357"/>
      <c r="J56" s="2357"/>
      <c r="K56" s="2357"/>
      <c r="L56" s="235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5" t="s">
        <v>591</v>
      </c>
      <c r="C58" s="2335"/>
      <c r="D58" s="541"/>
      <c r="E58" s="2336" t="s">
        <v>2017</v>
      </c>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8"/>
      <c r="AK58" s="541"/>
      <c r="AL58" s="541"/>
      <c r="AM58" s="541"/>
      <c r="AN58" s="536"/>
    </row>
    <row r="59" spans="1:50" s="537" customFormat="1" ht="12.75" customHeight="1">
      <c r="A59" s="541"/>
      <c r="B59" s="548"/>
      <c r="C59" s="548"/>
      <c r="D59" s="548"/>
      <c r="E59" s="2339"/>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8">
        <f>AO39</f>
        <v>0</v>
      </c>
      <c r="AL62" s="2369"/>
      <c r="AM62" s="237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5" t="s">
        <v>1314</v>
      </c>
      <c r="AF65" s="2345"/>
      <c r="AG65" s="2345"/>
      <c r="AH65" s="2345"/>
      <c r="AI65" s="2345"/>
      <c r="AJ65" s="2345"/>
      <c r="AK65" s="234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5" t="s">
        <v>591</v>
      </c>
      <c r="C68" s="2335"/>
      <c r="D68" s="548" t="s">
        <v>1315</v>
      </c>
      <c r="E68" s="2346" t="s">
        <v>2018</v>
      </c>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544"/>
      <c r="AL68" s="541"/>
      <c r="AM68" s="541"/>
      <c r="AN68" s="536"/>
      <c r="AO68" s="551">
        <f>IF($B68="yes",10,0)</f>
        <v>0</v>
      </c>
    </row>
    <row r="69" spans="1:42" s="537" customFormat="1" ht="12.75" customHeight="1">
      <c r="A69" s="539"/>
      <c r="B69" s="541"/>
      <c r="C69" s="541"/>
      <c r="D69" s="552"/>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544"/>
      <c r="AL69" s="541"/>
      <c r="AM69" s="541"/>
      <c r="AN69" s="536"/>
      <c r="AO69" s="551">
        <f>IF($B74="yes",10,0)</f>
        <v>10</v>
      </c>
    </row>
    <row r="70" spans="1:42" s="537" customFormat="1" ht="12.75" customHeight="1">
      <c r="A70" s="539"/>
      <c r="B70" s="541"/>
      <c r="C70" s="541"/>
      <c r="D70" s="552"/>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544"/>
      <c r="AL70" s="541"/>
      <c r="AM70" s="541"/>
      <c r="AN70" s="536"/>
      <c r="AO70" s="551">
        <f>IF($B81="yes",10,0)</f>
        <v>0</v>
      </c>
    </row>
    <row r="71" spans="1:42" s="537" customFormat="1" ht="12.75" customHeight="1">
      <c r="A71" s="539"/>
      <c r="B71" s="541"/>
      <c r="C71" s="541"/>
      <c r="D71" s="552"/>
      <c r="E71" s="2349"/>
      <c r="F71" s="2350"/>
      <c r="G71" s="2350"/>
      <c r="H71" s="2350"/>
      <c r="I71" s="2350"/>
      <c r="J71" s="2350"/>
      <c r="K71" s="2350"/>
      <c r="L71" s="2350"/>
      <c r="M71" s="2350"/>
      <c r="N71" s="2350"/>
      <c r="O71" s="2350"/>
      <c r="P71" s="2350"/>
      <c r="Q71" s="2350"/>
      <c r="R71" s="2350"/>
      <c r="S71" s="2350"/>
      <c r="T71" s="2350"/>
      <c r="U71" s="2350"/>
      <c r="V71" s="2350"/>
      <c r="W71" s="2350"/>
      <c r="X71" s="2350"/>
      <c r="Y71" s="2350"/>
      <c r="Z71" s="2350"/>
      <c r="AA71" s="2350"/>
      <c r="AB71" s="2350"/>
      <c r="AC71" s="2350"/>
      <c r="AD71" s="2350"/>
      <c r="AE71" s="2350"/>
      <c r="AF71" s="2350"/>
      <c r="AG71" s="2350"/>
      <c r="AH71" s="2350"/>
      <c r="AI71" s="2350"/>
      <c r="AJ71" s="2351"/>
      <c r="AK71" s="544"/>
      <c r="AL71" s="541"/>
      <c r="AM71" s="541"/>
      <c r="AN71" s="536"/>
      <c r="AO71" s="537">
        <f>IF(SUM(AO68:AO70)&gt;10,10,(SUM(AO68:AO70)))</f>
        <v>10</v>
      </c>
      <c r="AP71" s="575" t="s">
        <v>1316</v>
      </c>
    </row>
    <row r="72" spans="1:42" s="537" customFormat="1" ht="12.75" customHeight="1">
      <c r="A72" s="539"/>
      <c r="B72" s="541"/>
      <c r="C72" s="541"/>
      <c r="D72" s="552"/>
      <c r="E72" s="2352"/>
      <c r="F72" s="2353"/>
      <c r="G72" s="2353"/>
      <c r="H72" s="2353"/>
      <c r="I72" s="2353"/>
      <c r="J72" s="2353"/>
      <c r="K72" s="2353"/>
      <c r="L72" s="2353"/>
      <c r="M72" s="2353"/>
      <c r="N72" s="2353"/>
      <c r="O72" s="2353"/>
      <c r="P72" s="2353"/>
      <c r="Q72" s="2353"/>
      <c r="R72" s="2353"/>
      <c r="S72" s="2353"/>
      <c r="T72" s="2353"/>
      <c r="U72" s="2353"/>
      <c r="V72" s="2353"/>
      <c r="W72" s="2353"/>
      <c r="X72" s="2353"/>
      <c r="Y72" s="2353"/>
      <c r="Z72" s="2353"/>
      <c r="AA72" s="2353"/>
      <c r="AB72" s="2353"/>
      <c r="AC72" s="2353"/>
      <c r="AD72" s="2353"/>
      <c r="AE72" s="2353"/>
      <c r="AF72" s="2353"/>
      <c r="AG72" s="2353"/>
      <c r="AH72" s="2353"/>
      <c r="AI72" s="2353"/>
      <c r="AJ72" s="235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5" t="s">
        <v>545</v>
      </c>
      <c r="C74" s="233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5" t="s">
        <v>545</v>
      </c>
      <c r="F75" s="233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3" t="s">
        <v>591</v>
      </c>
      <c r="F76" s="233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3" t="s">
        <v>591</v>
      </c>
      <c r="F77" s="233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5" t="s">
        <v>591</v>
      </c>
      <c r="F79" s="233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5" t="s">
        <v>591</v>
      </c>
      <c r="C81" s="2335"/>
      <c r="D81" s="548" t="s">
        <v>1320</v>
      </c>
      <c r="E81" s="2336" t="s">
        <v>1740</v>
      </c>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8"/>
      <c r="AK81" s="544"/>
      <c r="AL81" s="541"/>
      <c r="AM81" s="541"/>
      <c r="AN81" s="536"/>
    </row>
    <row r="82" spans="1:43" s="537" customFormat="1" ht="12.75" customHeight="1">
      <c r="A82" s="539"/>
      <c r="B82" s="541"/>
      <c r="C82" s="541"/>
      <c r="D82" s="551"/>
      <c r="E82" s="2339"/>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8">
        <f>IF(AK62&gt;0,0,AO71)</f>
        <v>10</v>
      </c>
      <c r="AL84" s="2369"/>
      <c r="AM84" s="237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5" t="s">
        <v>1305</v>
      </c>
      <c r="AF87" s="2345"/>
      <c r="AG87" s="2345"/>
      <c r="AH87" s="2345"/>
      <c r="AI87" s="2345"/>
      <c r="AJ87" s="2345"/>
      <c r="AK87" s="234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5" t="s">
        <v>591</v>
      </c>
      <c r="C90" s="2335"/>
      <c r="D90" s="548" t="s">
        <v>1315</v>
      </c>
      <c r="E90" s="2346" t="s">
        <v>1325</v>
      </c>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544"/>
      <c r="AL90" s="541"/>
      <c r="AM90" s="541"/>
      <c r="AN90" s="536"/>
    </row>
    <row r="91" spans="1:43" s="537" customFormat="1" ht="12.75" customHeight="1">
      <c r="A91" s="539"/>
      <c r="B91" s="540"/>
      <c r="C91" s="540"/>
      <c r="D91" s="540"/>
      <c r="E91" s="2349"/>
      <c r="F91" s="2350"/>
      <c r="G91" s="2350"/>
      <c r="H91" s="2350"/>
      <c r="I91" s="2350"/>
      <c r="J91" s="2350"/>
      <c r="K91" s="2350"/>
      <c r="L91" s="2350"/>
      <c r="M91" s="2350"/>
      <c r="N91" s="235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9">
        <f>Application!AC753</f>
        <v>0.6</v>
      </c>
      <c r="F93" s="2330"/>
      <c r="G93" s="2330"/>
      <c r="H93" s="233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1">
        <f>0.6-ROUNDUP(E93,2)</f>
        <v>0</v>
      </c>
      <c r="F94" s="2332"/>
      <c r="G94" s="2332"/>
      <c r="H94" s="233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2">
        <f>IF(E94*200&gt;20,20,E94*200)</f>
        <v>0</v>
      </c>
      <c r="F95" s="2363"/>
      <c r="G95" s="2363"/>
      <c r="H95" s="236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5" t="s">
        <v>545</v>
      </c>
      <c r="C98" s="2335"/>
      <c r="D98" s="548" t="s">
        <v>1317</v>
      </c>
      <c r="E98" s="2346" t="s">
        <v>1725</v>
      </c>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544"/>
      <c r="AL98" s="541"/>
      <c r="AM98" s="541"/>
      <c r="AN98" s="536"/>
    </row>
    <row r="99" spans="1:47" s="537" customFormat="1" ht="12.75" customHeight="1">
      <c r="A99" s="539"/>
      <c r="B99" s="540"/>
      <c r="C99" s="540"/>
      <c r="D99" s="540"/>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544"/>
      <c r="AL99" s="541"/>
      <c r="AM99" s="541"/>
      <c r="AN99" s="536"/>
    </row>
    <row r="100" spans="1:47" s="537" customFormat="1" ht="12.75" customHeight="1">
      <c r="A100" s="539"/>
      <c r="B100" s="540"/>
      <c r="C100" s="540"/>
      <c r="D100" s="540"/>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544"/>
      <c r="AL100" s="541"/>
      <c r="AM100" s="541"/>
      <c r="AN100" s="536"/>
    </row>
    <row r="101" spans="1:47" s="537" customFormat="1" ht="12.75" customHeight="1">
      <c r="A101" s="539"/>
      <c r="B101" s="540"/>
      <c r="C101" s="540"/>
      <c r="D101" s="540"/>
      <c r="E101" s="2349"/>
      <c r="F101" s="2350"/>
      <c r="G101" s="2350"/>
      <c r="H101" s="2350"/>
      <c r="I101" s="2350"/>
      <c r="J101" s="2350"/>
      <c r="K101" s="2350"/>
      <c r="L101" s="2350"/>
      <c r="M101" s="2350"/>
      <c r="N101" s="2350"/>
      <c r="O101" s="2350"/>
      <c r="P101" s="2350"/>
      <c r="Q101" s="2350"/>
      <c r="R101" s="2350"/>
      <c r="S101" s="2350"/>
      <c r="T101" s="2350"/>
      <c r="U101" s="2350"/>
      <c r="V101" s="2350"/>
      <c r="W101" s="2350"/>
      <c r="X101" s="2350"/>
      <c r="Y101" s="2350"/>
      <c r="Z101" s="2350"/>
      <c r="AA101" s="2350"/>
      <c r="AB101" s="2350"/>
      <c r="AC101" s="2350"/>
      <c r="AD101" s="2350"/>
      <c r="AE101" s="2350"/>
      <c r="AF101" s="2350"/>
      <c r="AG101" s="2350"/>
      <c r="AH101" s="2350"/>
      <c r="AI101" s="2350"/>
      <c r="AJ101" s="235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9">
        <f>Application!AC753</f>
        <v>0.6</v>
      </c>
      <c r="F103" s="2330"/>
      <c r="G103" s="2330"/>
      <c r="H103" s="233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9">
        <f ca="1">SUMIF(Application!AC718:AG752,0.2,Application!G718:J752)/Application!G753+SUMIF(Application!AC718:AG752,0.25,Application!G718:J752)/Application!G753+SUMIF(Application!AC718:AG752,0.3,Application!G718:J752)/Application!G753</f>
        <v>0.10891089108910891</v>
      </c>
      <c r="F104" s="2330"/>
      <c r="G104" s="2330"/>
      <c r="H104" s="233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9">
        <f ca="1">SUMIF(Application!AC718:AG752,0.35,Application!G718:J752)/Application!G753+SUMIF(Application!AC718:AG752,0.4,Application!G718:J752)/Application!G753+SUMIF(Application!AC718:AG752,0.45,Application!G718:J752)/Application!G753+SUMIF(Application!AC718:AG752,0.5,Application!G718:J752)/Application!G753</f>
        <v>0.10891089108910891</v>
      </c>
      <c r="F105" s="2330"/>
      <c r="G105" s="2330"/>
      <c r="H105" s="233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7">
        <f ca="1">IF(AND(E103&lt;=0.6,OR(AND(E104&gt;=0.1,E105&gt;=0.1),AND(E104&gt;0.1,(E104+E105)&gt;=0.2))),20,0)</f>
        <v>20</v>
      </c>
      <c r="F106" s="2388"/>
      <c r="G106" s="2388"/>
      <c r="H106" s="238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8">
        <f ca="1">MAX(AP95,AP106)</f>
        <v>20</v>
      </c>
      <c r="AL109" s="2369"/>
      <c r="AM109" s="237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5" t="s">
        <v>1314</v>
      </c>
      <c r="AF112" s="2345"/>
      <c r="AG112" s="2345"/>
      <c r="AH112" s="2345"/>
      <c r="AI112" s="2345"/>
      <c r="AJ112" s="2345"/>
      <c r="AK112" s="2345"/>
      <c r="AL112" s="541"/>
      <c r="AM112" s="541"/>
      <c r="AN112" s="536"/>
      <c r="AO112" s="537" t="str">
        <f>Application!B718</f>
        <v>2 Bedrooms</v>
      </c>
      <c r="AQ112" s="537">
        <f>Application!O718</f>
        <v>880</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1504</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1816</v>
      </c>
    </row>
    <row r="115" spans="1:52" s="537" customFormat="1" ht="12.75" customHeight="1">
      <c r="A115" s="541"/>
      <c r="B115" s="2335" t="s">
        <v>545</v>
      </c>
      <c r="C115" s="2335"/>
      <c r="D115" s="548" t="s">
        <v>1315</v>
      </c>
      <c r="E115" s="2346" t="s">
        <v>1858</v>
      </c>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541"/>
      <c r="AL115" s="541"/>
      <c r="AM115" s="541"/>
      <c r="AN115" s="536"/>
      <c r="AO115" s="537" t="str">
        <f>Application!B721</f>
        <v>2 Bedrooms</v>
      </c>
      <c r="AQ115" s="537">
        <f>Application!O721</f>
        <v>1871</v>
      </c>
      <c r="AU115" s="537" t="s">
        <v>1840</v>
      </c>
      <c r="AV115" s="596" t="s">
        <v>1841</v>
      </c>
      <c r="AW115" s="537" t="s">
        <v>1842</v>
      </c>
    </row>
    <row r="116" spans="1:52" s="537" customFormat="1" ht="12.75" customHeight="1">
      <c r="A116" s="541"/>
      <c r="B116" s="540"/>
      <c r="C116" s="540"/>
      <c r="D116" s="540"/>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541"/>
      <c r="AL118" s="541"/>
      <c r="AM118" s="541"/>
      <c r="AN118" s="536"/>
      <c r="AO118" s="537">
        <f>Application!B724</f>
        <v>0</v>
      </c>
      <c r="AQ118" s="537">
        <f>Application!O724</f>
        <v>0</v>
      </c>
      <c r="AU118" s="857" t="str">
        <f>O124</f>
        <v>2-bedroom</v>
      </c>
      <c r="AV118" s="537">
        <f t="array" ref="AV118">SUM(IF(Application!B718:F752="2 Bedrooms",Application!G718:J752))</f>
        <v>101</v>
      </c>
      <c r="AW118" s="1012">
        <f>AV118/AV122</f>
        <v>1</v>
      </c>
    </row>
    <row r="119" spans="1:52" s="537" customFormat="1" ht="12.75" customHeight="1">
      <c r="A119" s="541"/>
      <c r="B119" s="540"/>
      <c r="C119" s="540"/>
      <c r="D119" s="540"/>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9"/>
      <c r="F122" s="2350"/>
      <c r="G122" s="2350"/>
      <c r="H122" s="2350"/>
      <c r="I122" s="2350"/>
      <c r="J122" s="2350"/>
      <c r="K122" s="2350"/>
      <c r="L122" s="2350"/>
      <c r="M122" s="2350"/>
      <c r="N122" s="2350"/>
      <c r="O122" s="2350"/>
      <c r="P122" s="2350"/>
      <c r="Q122" s="2350"/>
      <c r="R122" s="2350"/>
      <c r="S122" s="2350"/>
      <c r="T122" s="2350"/>
      <c r="U122" s="2350"/>
      <c r="V122" s="2350"/>
      <c r="W122" s="2350"/>
      <c r="X122" s="2350"/>
      <c r="Y122" s="2350"/>
      <c r="Z122" s="2350"/>
      <c r="AA122" s="2350"/>
      <c r="AB122" s="2350"/>
      <c r="AC122" s="2350"/>
      <c r="AD122" s="2350"/>
      <c r="AE122" s="2350"/>
      <c r="AF122" s="2350"/>
      <c r="AG122" s="2350"/>
      <c r="AH122" s="2350"/>
      <c r="AI122" s="2350"/>
      <c r="AJ122" s="2351"/>
      <c r="AK122" s="541"/>
      <c r="AL122" s="541"/>
      <c r="AM122" s="541"/>
      <c r="AN122" s="536"/>
      <c r="AO122" s="537">
        <f>Application!B728</f>
        <v>0</v>
      </c>
      <c r="AQ122" s="537">
        <f>Application!O728</f>
        <v>0</v>
      </c>
      <c r="AV122" s="537">
        <f>SUM(AV116:AV121)</f>
        <v>101</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9" t="s">
        <v>1588</v>
      </c>
      <c r="F124" s="2330"/>
      <c r="G124" s="2330"/>
      <c r="H124" s="2330"/>
      <c r="I124" s="578"/>
      <c r="J124" s="2330" t="s">
        <v>1631</v>
      </c>
      <c r="K124" s="2330"/>
      <c r="L124" s="2330"/>
      <c r="M124" s="2330"/>
      <c r="N124" s="578"/>
      <c r="O124" s="2330" t="s">
        <v>1632</v>
      </c>
      <c r="P124" s="2330"/>
      <c r="Q124" s="2330"/>
      <c r="R124" s="2330"/>
      <c r="S124" s="578"/>
      <c r="T124" s="2330" t="s">
        <v>1334</v>
      </c>
      <c r="U124" s="2330"/>
      <c r="V124" s="2330"/>
      <c r="W124" s="2330"/>
      <c r="X124" s="578"/>
      <c r="Y124" s="2330" t="s">
        <v>1633</v>
      </c>
      <c r="Z124" s="2330"/>
      <c r="AA124" s="2330"/>
      <c r="AB124" s="2330"/>
      <c r="AC124" s="578"/>
      <c r="AD124" s="2330" t="s">
        <v>1634</v>
      </c>
      <c r="AE124" s="2330"/>
      <c r="AF124" s="2330"/>
      <c r="AG124" s="233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9"/>
      <c r="F127" s="2390"/>
      <c r="G127" s="2390"/>
      <c r="H127" s="2390"/>
      <c r="I127" s="865"/>
      <c r="J127" s="2390"/>
      <c r="K127" s="2390"/>
      <c r="L127" s="2390"/>
      <c r="M127" s="2390"/>
      <c r="N127" s="865"/>
      <c r="O127" s="2390">
        <v>3504</v>
      </c>
      <c r="P127" s="2390"/>
      <c r="Q127" s="2390"/>
      <c r="R127" s="2390"/>
      <c r="S127" s="865"/>
      <c r="T127" s="2390"/>
      <c r="U127" s="2390"/>
      <c r="V127" s="2390"/>
      <c r="W127" s="2390"/>
      <c r="X127" s="865"/>
      <c r="Y127" s="2390"/>
      <c r="Z127" s="2390"/>
      <c r="AA127" s="2390"/>
      <c r="AB127" s="2390"/>
      <c r="AC127" s="865"/>
      <c r="AD127" s="2390"/>
      <c r="AE127" s="2390"/>
      <c r="AF127" s="2390"/>
      <c r="AG127" s="239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2">
        <f>Application!DX670</f>
        <v>0</v>
      </c>
      <c r="F130" s="2383"/>
      <c r="G130" s="2383"/>
      <c r="H130" s="2383"/>
      <c r="I130" s="865"/>
      <c r="J130" s="2383">
        <f>Application!EC670</f>
        <v>0</v>
      </c>
      <c r="K130" s="2383"/>
      <c r="L130" s="2383"/>
      <c r="M130" s="2383"/>
      <c r="N130" s="865"/>
      <c r="O130" s="2383">
        <f>Application!EH670</f>
        <v>1704.0396039603961</v>
      </c>
      <c r="P130" s="2383"/>
      <c r="Q130" s="2383"/>
      <c r="R130" s="2383"/>
      <c r="S130" s="869"/>
      <c r="T130" s="2383">
        <f>Application!EM670</f>
        <v>0</v>
      </c>
      <c r="U130" s="2383"/>
      <c r="V130" s="2383"/>
      <c r="W130" s="2383"/>
      <c r="X130" s="869"/>
      <c r="Y130" s="2383">
        <f>Application!ER670</f>
        <v>0</v>
      </c>
      <c r="Z130" s="2383"/>
      <c r="AA130" s="2383"/>
      <c r="AB130" s="2383"/>
      <c r="AC130" s="869"/>
      <c r="AD130" s="2383">
        <f>Application!EW670</f>
        <v>0</v>
      </c>
      <c r="AE130" s="2383"/>
      <c r="AF130" s="2383"/>
      <c r="AG130" s="238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1" t="e">
        <f>(E127-E130)/E127</f>
        <v>#DIV/0!</v>
      </c>
      <c r="F133" s="2332"/>
      <c r="G133" s="2332"/>
      <c r="H133" s="2582"/>
      <c r="I133" s="578"/>
      <c r="J133" s="2581" t="e">
        <f>(J127-J130)/J127</f>
        <v>#DIV/0!</v>
      </c>
      <c r="K133" s="2332"/>
      <c r="L133" s="2332"/>
      <c r="M133" s="2582"/>
      <c r="N133" s="578"/>
      <c r="O133" s="2581">
        <f>(O127-O130)/O127</f>
        <v>0.5136873276368733</v>
      </c>
      <c r="P133" s="2332"/>
      <c r="Q133" s="2332"/>
      <c r="R133" s="2582"/>
      <c r="S133" s="578"/>
      <c r="T133" s="2581" t="e">
        <f>(T127-T130)/T127</f>
        <v>#DIV/0!</v>
      </c>
      <c r="U133" s="2332"/>
      <c r="V133" s="2332"/>
      <c r="W133" s="2582"/>
      <c r="X133" s="578"/>
      <c r="Y133" s="2581" t="e">
        <f>(Y127-Y130)/Y127</f>
        <v>#DIV/0!</v>
      </c>
      <c r="Z133" s="2332"/>
      <c r="AA133" s="2332"/>
      <c r="AB133" s="2582"/>
      <c r="AC133" s="578"/>
      <c r="AD133" s="2581" t="e">
        <f>(AD127-AD130)/AD127</f>
        <v>#DIV/0!</v>
      </c>
      <c r="AE133" s="2332"/>
      <c r="AF133" s="2332"/>
      <c r="AG133" s="258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4" t="e">
        <f>IF(((E133-0.1)*AW116)&gt;0,((E133-0.1)*AW116),0)</f>
        <v>#DIV/0!</v>
      </c>
      <c r="F136" s="2385"/>
      <c r="G136" s="2385"/>
      <c r="H136" s="2386"/>
      <c r="I136" s="578"/>
      <c r="J136" s="2384" t="e">
        <f>IF(((J133-0.1)*AW117)&gt;0,((J133-0.1)*AW117),0)</f>
        <v>#DIV/0!</v>
      </c>
      <c r="K136" s="2385"/>
      <c r="L136" s="2385"/>
      <c r="M136" s="2386"/>
      <c r="N136" s="578"/>
      <c r="O136" s="2384">
        <f>IF(((O133-0.1)*AW118)&gt;0,((O133-0.1)*AW118),0)</f>
        <v>0.41368732763687333</v>
      </c>
      <c r="P136" s="2385"/>
      <c r="Q136" s="2385"/>
      <c r="R136" s="2386"/>
      <c r="S136" s="578"/>
      <c r="T136" s="2384" t="e">
        <f>IF(((T133-0.1)*AW119)&gt;0,((T133-0.1)*AW119),0)</f>
        <v>#DIV/0!</v>
      </c>
      <c r="U136" s="2385"/>
      <c r="V136" s="2385"/>
      <c r="W136" s="2386"/>
      <c r="X136" s="578"/>
      <c r="Y136" s="2384" t="e">
        <f>IF(((Y133-0.1)*AW120)&gt;0,((Y133-0.1)*AW120),0)</f>
        <v>#DIV/0!</v>
      </c>
      <c r="Z136" s="2385"/>
      <c r="AA136" s="2385"/>
      <c r="AB136" s="2386"/>
      <c r="AC136" s="578"/>
      <c r="AD136" s="2384" t="e">
        <f>IF(((AD133-0.1)*AW121)&gt;0,((AD133-0.1)*AW121),0)</f>
        <v>#DIV/0!</v>
      </c>
      <c r="AE136" s="2385"/>
      <c r="AF136" s="2385"/>
      <c r="AG136" s="238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1">
        <f>ROUNDDOWN(SUMIF(E136:AG136,"&gt;0"),2)</f>
        <v>0.41</v>
      </c>
      <c r="F138" s="2332"/>
      <c r="G138" s="2332"/>
      <c r="H138" s="258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8">
        <f>IF((E138*100)&gt;10,10,E138*100)</f>
        <v>10</v>
      </c>
      <c r="F139" s="2369"/>
      <c r="G139" s="2369"/>
      <c r="H139" s="237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8">
        <f>E139</f>
        <v>10</v>
      </c>
      <c r="AL143" s="2369"/>
      <c r="AM143" s="237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5" t="s">
        <v>1314</v>
      </c>
      <c r="AF146" s="2345"/>
      <c r="AG146" s="2345"/>
      <c r="AH146" s="2345"/>
      <c r="AI146" s="2345"/>
      <c r="AJ146" s="2345"/>
      <c r="AK146" s="2345"/>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0" t="s">
        <v>1338</v>
      </c>
      <c r="AG148" s="2380"/>
      <c r="AH148" s="2380"/>
      <c r="AI148" s="2380"/>
      <c r="AJ148" s="2380"/>
      <c r="AK148" s="2380"/>
      <c r="AL148" s="238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1" t="str">
        <f>Application!M251</f>
        <v>Affordable Housing Alliance II, Inc. dba Integrity Housing, sole member of to be formed LLC MGP</v>
      </c>
      <c r="C150" s="2381"/>
      <c r="D150" s="2381"/>
      <c r="E150" s="2381"/>
      <c r="F150" s="2381"/>
      <c r="G150" s="2381"/>
      <c r="H150" s="2381"/>
      <c r="I150" s="2381"/>
      <c r="J150" s="2381"/>
      <c r="K150" s="2381"/>
      <c r="L150" s="2381"/>
      <c r="M150" s="2381"/>
      <c r="N150" s="2381"/>
      <c r="O150" s="2381"/>
      <c r="P150" s="2381"/>
      <c r="Q150" s="2381"/>
      <c r="R150" s="2381"/>
      <c r="S150" s="2381"/>
      <c r="T150" s="2381"/>
      <c r="U150" s="2381"/>
      <c r="V150" s="2381"/>
      <c r="W150" s="2381"/>
      <c r="X150" s="2381"/>
      <c r="Y150" s="2381"/>
      <c r="Z150" s="2381"/>
      <c r="AA150" s="2381"/>
      <c r="AB150" s="2381"/>
      <c r="AC150" s="238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7" t="s">
        <v>1341</v>
      </c>
      <c r="C153" s="2407"/>
      <c r="D153" s="2407"/>
      <c r="E153" s="2407"/>
      <c r="F153" s="2407"/>
      <c r="G153" s="2407"/>
      <c r="H153" s="2407"/>
      <c r="I153" s="2407"/>
      <c r="J153" s="2407"/>
      <c r="K153" s="2407"/>
      <c r="L153" s="2407"/>
      <c r="M153" s="2407"/>
      <c r="N153" s="2407"/>
      <c r="O153" s="2407"/>
      <c r="P153" s="2407"/>
      <c r="Q153" s="2407"/>
      <c r="R153" s="2407"/>
      <c r="S153" s="2407"/>
      <c r="T153" s="2407"/>
      <c r="U153" s="2407"/>
      <c r="V153" s="2407"/>
      <c r="W153" s="2407"/>
      <c r="X153" s="2407"/>
      <c r="Y153" s="2407"/>
      <c r="Z153" s="2407"/>
      <c r="AA153" s="2407"/>
      <c r="AB153" s="2407"/>
      <c r="AC153" s="2407"/>
      <c r="AD153" s="2407"/>
      <c r="AE153" s="2407"/>
      <c r="AF153" s="2407"/>
      <c r="AG153" s="2407"/>
      <c r="AH153" s="2407"/>
      <c r="AI153" s="2407"/>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8" t="s">
        <v>591</v>
      </c>
      <c r="AC155" s="240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7" t="s">
        <v>1343</v>
      </c>
      <c r="C158" s="2407"/>
      <c r="D158" s="2407"/>
      <c r="E158" s="2407"/>
      <c r="F158" s="2407"/>
      <c r="G158" s="2407"/>
      <c r="H158" s="2407"/>
      <c r="I158" s="2407"/>
      <c r="J158" s="2407"/>
      <c r="K158" s="2407"/>
      <c r="L158" s="2407"/>
      <c r="M158" s="2407"/>
      <c r="N158" s="2407"/>
      <c r="O158" s="2407"/>
      <c r="P158" s="2407"/>
      <c r="Q158" s="2407"/>
      <c r="R158" s="2407"/>
      <c r="S158" s="2407"/>
      <c r="T158" s="2407"/>
      <c r="U158" s="2407"/>
      <c r="V158" s="2407"/>
      <c r="W158" s="2407"/>
      <c r="X158" s="2407"/>
      <c r="Y158" s="2407"/>
      <c r="Z158" s="2407"/>
      <c r="AA158" s="2407"/>
      <c r="AB158" s="2407"/>
      <c r="AC158" s="2407"/>
      <c r="AD158" s="2407"/>
      <c r="AE158" s="2407"/>
      <c r="AF158" s="2407"/>
      <c r="AG158" s="2407"/>
      <c r="AH158" s="2407"/>
      <c r="AI158" s="2407"/>
      <c r="AJ158" s="240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8" t="s">
        <v>2479</v>
      </c>
      <c r="C161" s="2568"/>
      <c r="D161" s="2568"/>
      <c r="E161" s="2568"/>
      <c r="F161" s="2568"/>
      <c r="G161" s="2568"/>
      <c r="H161" s="2568"/>
      <c r="I161" s="2568"/>
      <c r="J161" s="2568"/>
      <c r="K161" s="2568"/>
      <c r="L161" s="2568"/>
      <c r="M161" s="2568"/>
      <c r="N161" s="2568"/>
      <c r="O161" s="2568"/>
      <c r="P161" s="2568"/>
      <c r="Q161" s="2568"/>
      <c r="R161" s="2568"/>
      <c r="S161" s="2568"/>
      <c r="T161" s="2568"/>
      <c r="U161" s="2568"/>
      <c r="V161" s="2568"/>
      <c r="W161" s="2568"/>
      <c r="X161" s="2568"/>
      <c r="Y161" s="2568"/>
      <c r="Z161" s="2568"/>
      <c r="AA161" s="2568"/>
      <c r="AB161" s="2568"/>
      <c r="AC161" s="2568"/>
      <c r="AD161" s="2568"/>
      <c r="AE161" s="2568"/>
      <c r="AF161" s="2568"/>
      <c r="AG161" s="2568"/>
      <c r="AH161" s="2568"/>
      <c r="AI161" s="2568"/>
      <c r="AJ161" s="2568"/>
      <c r="AK161" s="1182"/>
      <c r="AM161" s="540"/>
      <c r="AN161" s="536"/>
      <c r="AO161" s="477"/>
      <c r="AP161" s="490"/>
    </row>
    <row r="162" spans="1:42" s="537" customFormat="1" ht="12.75" customHeight="1">
      <c r="B162" s="2568"/>
      <c r="C162" s="2568"/>
      <c r="D162" s="2568"/>
      <c r="E162" s="2568"/>
      <c r="F162" s="2568"/>
      <c r="G162" s="2568"/>
      <c r="H162" s="2568"/>
      <c r="I162" s="2568"/>
      <c r="J162" s="2568"/>
      <c r="K162" s="2568"/>
      <c r="L162" s="2568"/>
      <c r="M162" s="2568"/>
      <c r="N162" s="2568"/>
      <c r="O162" s="2568"/>
      <c r="P162" s="2568"/>
      <c r="Q162" s="2568"/>
      <c r="R162" s="2568"/>
      <c r="S162" s="2568"/>
      <c r="T162" s="2568"/>
      <c r="U162" s="2568"/>
      <c r="V162" s="2568"/>
      <c r="W162" s="2568"/>
      <c r="X162" s="2568"/>
      <c r="Y162" s="2568"/>
      <c r="Z162" s="2568"/>
      <c r="AA162" s="2568"/>
      <c r="AB162" s="2568"/>
      <c r="AC162" s="2568"/>
      <c r="AD162" s="2568"/>
      <c r="AE162" s="2568"/>
      <c r="AF162" s="2568"/>
      <c r="AG162" s="2568"/>
      <c r="AH162" s="2568"/>
      <c r="AI162" s="2568"/>
      <c r="AJ162" s="2568"/>
      <c r="AK162" s="1182"/>
      <c r="AM162" s="540"/>
      <c r="AN162" s="536"/>
      <c r="AO162" s="477"/>
      <c r="AP162" s="490"/>
    </row>
    <row r="163" spans="1:42" s="537" customFormat="1" ht="12.75" customHeight="1">
      <c r="C163" s="2471" t="s">
        <v>2480</v>
      </c>
      <c r="D163" s="2471"/>
      <c r="E163" s="2471"/>
      <c r="F163" s="2471"/>
      <c r="G163" s="2471"/>
      <c r="H163" s="2471"/>
      <c r="I163" s="2471"/>
      <c r="J163" s="2471"/>
      <c r="K163" s="2471"/>
      <c r="L163" s="2471"/>
      <c r="M163" s="2471"/>
      <c r="N163" s="2471"/>
      <c r="O163" s="2471"/>
      <c r="P163" s="2471"/>
      <c r="Q163" s="2471"/>
      <c r="R163" s="2471"/>
      <c r="S163" s="2471"/>
      <c r="T163" s="2471"/>
      <c r="U163" s="2471"/>
      <c r="V163" s="2471"/>
      <c r="W163" s="2471"/>
      <c r="X163" s="2471"/>
      <c r="Y163" s="2471"/>
      <c r="Z163" s="2471"/>
      <c r="AA163" s="2471"/>
      <c r="AB163" s="2471"/>
      <c r="AC163" s="2471"/>
      <c r="AD163" s="2471"/>
      <c r="AE163" s="2471"/>
      <c r="AF163" s="2471"/>
      <c r="AG163" s="2471"/>
      <c r="AH163" s="2471"/>
      <c r="AI163" s="2471"/>
      <c r="AJ163" s="2471"/>
      <c r="AK163" s="1182"/>
      <c r="AM163" s="540"/>
      <c r="AN163" s="536"/>
      <c r="AO163" s="477"/>
      <c r="AP163" s="490"/>
    </row>
    <row r="164" spans="1:42" s="537" customFormat="1" ht="12.75" customHeight="1">
      <c r="B164" s="1182"/>
      <c r="C164" s="2406" t="s">
        <v>2478</v>
      </c>
      <c r="D164" s="2406"/>
      <c r="E164" s="2406"/>
      <c r="F164" s="2406"/>
      <c r="G164" s="2406"/>
      <c r="H164" s="2406"/>
      <c r="I164" s="2406"/>
      <c r="J164" s="2406"/>
      <c r="K164" s="2406"/>
      <c r="L164" s="2406"/>
      <c r="M164" s="2406"/>
      <c r="N164" s="2406"/>
      <c r="O164" s="2406"/>
      <c r="P164" s="2406"/>
      <c r="Q164" s="2406"/>
      <c r="R164" s="2406"/>
      <c r="S164" s="2406"/>
      <c r="T164" s="2406"/>
      <c r="U164" s="2406"/>
      <c r="V164" s="2406"/>
      <c r="W164" s="2406"/>
      <c r="X164" s="2406"/>
      <c r="Y164" s="2406"/>
      <c r="Z164" s="2406"/>
      <c r="AA164" s="1172"/>
      <c r="AB164" s="1172"/>
      <c r="AC164" s="1172"/>
      <c r="AD164" s="1172"/>
      <c r="AE164" s="1172"/>
      <c r="AF164" s="1172"/>
      <c r="AG164" s="1172"/>
      <c r="AH164" s="1172"/>
      <c r="AJ164" s="2408" t="s">
        <v>591</v>
      </c>
      <c r="AK164" s="240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1">
        <f>IF($AB$155="N/A",VLOOKUP($B$153,$AO$151:$AP$154,2,FALSE),VLOOKUP($B$158,$AO$156:$AP$158,2,FALSE))</f>
        <v>7</v>
      </c>
      <c r="AK166" s="241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0" t="s">
        <v>1352</v>
      </c>
      <c r="AG168" s="2380"/>
      <c r="AH168" s="2380"/>
      <c r="AI168" s="2380"/>
      <c r="AJ168" s="2380"/>
      <c r="AK168" s="2380"/>
      <c r="AL168" s="238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7" t="s">
        <v>1350</v>
      </c>
      <c r="D170" s="2407"/>
      <c r="E170" s="2407"/>
      <c r="F170" s="2407"/>
      <c r="G170" s="2407"/>
      <c r="H170" s="2407"/>
      <c r="I170" s="2407"/>
      <c r="J170" s="2407"/>
      <c r="K170" s="2407"/>
      <c r="L170" s="2407"/>
      <c r="M170" s="2407"/>
      <c r="N170" s="2407"/>
      <c r="O170" s="2407"/>
      <c r="P170" s="2407"/>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8" t="s">
        <v>591</v>
      </c>
      <c r="AG172" s="240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7" t="s">
        <v>1343</v>
      </c>
      <c r="D174" s="2407"/>
      <c r="E174" s="2407"/>
      <c r="F174" s="2407"/>
      <c r="G174" s="2407"/>
      <c r="H174" s="2407"/>
      <c r="I174" s="2407"/>
      <c r="J174" s="2407"/>
      <c r="K174" s="2407"/>
      <c r="L174" s="2407"/>
      <c r="M174" s="2407"/>
      <c r="N174" s="2407"/>
      <c r="O174" s="2407"/>
      <c r="P174" s="2407"/>
      <c r="Q174" s="2407"/>
      <c r="R174" s="2407"/>
      <c r="S174" s="2407"/>
      <c r="T174" s="2407"/>
      <c r="U174" s="2407"/>
      <c r="V174" s="2407"/>
      <c r="W174" s="2407"/>
      <c r="X174" s="2407"/>
      <c r="Y174" s="2407"/>
      <c r="Z174" s="2407"/>
      <c r="AA174" s="2407"/>
      <c r="AB174" s="2407"/>
      <c r="AC174" s="2407"/>
      <c r="AD174" s="240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9" t="str">
        <f>Application!AA335</f>
        <v>Aperto Property Management, Inc.</v>
      </c>
      <c r="D178" s="2409"/>
      <c r="E178" s="2409"/>
      <c r="F178" s="2409"/>
      <c r="G178" s="2409"/>
      <c r="H178" s="2409"/>
      <c r="I178" s="2409"/>
      <c r="J178" s="2409"/>
      <c r="K178" s="2409"/>
      <c r="L178" s="2409"/>
      <c r="M178" s="2409"/>
      <c r="N178" s="2409"/>
      <c r="O178" s="2409"/>
      <c r="P178" s="2409"/>
      <c r="Q178" s="2409"/>
      <c r="R178" s="2409"/>
      <c r="S178" s="2409"/>
      <c r="T178" s="2409"/>
      <c r="U178" s="2409"/>
      <c r="V178" s="2409"/>
      <c r="W178" s="2409"/>
      <c r="X178" s="2409"/>
      <c r="Y178" s="2409"/>
      <c r="Z178" s="2409"/>
      <c r="AA178" s="2409"/>
      <c r="AB178" s="2409"/>
      <c r="AC178" s="2409"/>
      <c r="AD178" s="2409"/>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0">
        <f>IF($AF$172="N/A",VLOOKUP($C$170,$AO$170:$AP$173,2,FALSE),VLOOKUP($C$174,$AO$177:$AP$179,2,FALSE))</f>
        <v>3</v>
      </c>
      <c r="AK180" s="241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8">
        <f>$AJ$166+$AJ$180</f>
        <v>10</v>
      </c>
      <c r="AL183" s="2369"/>
      <c r="AM183" s="237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5" t="s">
        <v>1314</v>
      </c>
      <c r="AF186" s="2345"/>
      <c r="AG186" s="2345"/>
      <c r="AH186" s="2345"/>
      <c r="AI186" s="2345"/>
      <c r="AJ186" s="2345"/>
      <c r="AK186" s="234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5" t="s">
        <v>1367</v>
      </c>
      <c r="C188" s="2405"/>
      <c r="D188" s="240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537"/>
      <c r="AE188" s="537"/>
      <c r="AF188" s="2380" t="s">
        <v>1363</v>
      </c>
      <c r="AG188" s="2380"/>
      <c r="AH188" s="2380"/>
      <c r="AI188" s="2380"/>
      <c r="AJ188" s="2380"/>
      <c r="AK188" s="2380"/>
      <c r="AL188" s="2380"/>
      <c r="AN188" s="598"/>
      <c r="AP188" s="551" t="s">
        <v>1043</v>
      </c>
      <c r="AQ188" s="551">
        <v>10</v>
      </c>
    </row>
    <row r="189" spans="1:73" s="551" customFormat="1" ht="12.75" customHeight="1">
      <c r="A189" s="537"/>
      <c r="B189" s="2406" t="s">
        <v>1726</v>
      </c>
      <c r="C189" s="2406"/>
      <c r="D189" s="2406"/>
      <c r="E189" s="2406"/>
      <c r="F189" s="2406"/>
      <c r="G189" s="2406"/>
      <c r="H189" s="2406"/>
      <c r="I189" s="2406"/>
      <c r="J189" s="2406"/>
      <c r="K189" s="2406"/>
      <c r="L189" s="2406"/>
      <c r="M189" s="2406"/>
      <c r="N189" s="2406"/>
      <c r="O189" s="2406"/>
      <c r="P189" s="2406"/>
      <c r="Q189" s="2406"/>
      <c r="R189" s="2406"/>
      <c r="S189" s="2406"/>
      <c r="T189" s="2381" t="s">
        <v>591</v>
      </c>
      <c r="U189" s="2381"/>
      <c r="V189" s="2381"/>
      <c r="W189" s="2381"/>
      <c r="X189" s="2381"/>
      <c r="Y189" s="2381"/>
      <c r="Z189" s="2381"/>
      <c r="AA189" s="2381"/>
      <c r="AB189" s="2381"/>
      <c r="AC189" s="238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5">
        <f>IF(AK84&gt;0,VLOOKUP($B$188,AP185:AQ191,2,FALSE),0)</f>
        <v>10</v>
      </c>
      <c r="AL191" s="2416"/>
      <c r="AM191" s="241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5" t="s">
        <v>1372</v>
      </c>
      <c r="AF194" s="2345"/>
      <c r="AG194" s="2345"/>
      <c r="AH194" s="2345"/>
      <c r="AI194" s="2345"/>
      <c r="AJ194" s="2345"/>
      <c r="AK194" s="234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2" t="s">
        <v>2709</v>
      </c>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c r="AA199" s="2392"/>
      <c r="AB199" s="2392"/>
      <c r="AC199" s="847"/>
      <c r="AD199" s="2393">
        <f>Application!AM555</f>
        <v>2800000</v>
      </c>
      <c r="AE199" s="2393"/>
      <c r="AF199" s="2393"/>
      <c r="AG199" s="2393"/>
      <c r="AH199" s="2393"/>
      <c r="AI199" s="2393"/>
      <c r="AJ199" s="2393"/>
      <c r="AK199" s="611"/>
    </row>
    <row r="200" spans="1:40">
      <c r="A200" s="606"/>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c r="AA200" s="2392"/>
      <c r="AB200" s="2392"/>
      <c r="AC200" s="847"/>
      <c r="AD200" s="2393"/>
      <c r="AE200" s="2393"/>
      <c r="AF200" s="2393"/>
      <c r="AG200" s="2393"/>
      <c r="AH200" s="2393"/>
      <c r="AI200" s="2393"/>
      <c r="AJ200" s="2393"/>
      <c r="AK200" s="611"/>
    </row>
    <row r="201" spans="1:40">
      <c r="A201" s="606"/>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c r="AA201" s="2392"/>
      <c r="AB201" s="2392"/>
      <c r="AC201" s="847"/>
      <c r="AD201" s="2393"/>
      <c r="AE201" s="2393"/>
      <c r="AF201" s="2393"/>
      <c r="AG201" s="2393"/>
      <c r="AH201" s="2393"/>
      <c r="AI201" s="2393"/>
      <c r="AJ201" s="2393"/>
      <c r="AK201" s="611"/>
    </row>
    <row r="202" spans="1:40">
      <c r="A202" s="606"/>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c r="AA202" s="2392"/>
      <c r="AB202" s="2392"/>
      <c r="AC202" s="847"/>
      <c r="AD202" s="2393"/>
      <c r="AE202" s="2393"/>
      <c r="AF202" s="2393"/>
      <c r="AG202" s="2393"/>
      <c r="AH202" s="2393"/>
      <c r="AI202" s="2393"/>
      <c r="AJ202" s="2393"/>
      <c r="AK202" s="611"/>
    </row>
    <row r="203" spans="1:40">
      <c r="A203" s="606"/>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c r="AA203" s="2392"/>
      <c r="AB203" s="2392"/>
      <c r="AC203" s="847"/>
      <c r="AD203" s="2393"/>
      <c r="AE203" s="2393"/>
      <c r="AF203" s="2393"/>
      <c r="AG203" s="2393"/>
      <c r="AH203" s="2393"/>
      <c r="AI203" s="2393"/>
      <c r="AJ203" s="2393"/>
      <c r="AK203" s="611"/>
    </row>
    <row r="204" spans="1:40">
      <c r="A204" s="606"/>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c r="AA204" s="2392"/>
      <c r="AB204" s="2392"/>
      <c r="AC204" s="847"/>
      <c r="AD204" s="2393"/>
      <c r="AE204" s="2393"/>
      <c r="AF204" s="2393"/>
      <c r="AG204" s="2393"/>
      <c r="AH204" s="2393"/>
      <c r="AI204" s="2393"/>
      <c r="AJ204" s="2393"/>
      <c r="AK204" s="611"/>
    </row>
    <row r="205" spans="1:40">
      <c r="A205" s="606"/>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c r="AA205" s="2392"/>
      <c r="AB205" s="2392"/>
      <c r="AC205" s="847"/>
      <c r="AD205" s="2393"/>
      <c r="AE205" s="2393"/>
      <c r="AF205" s="2393"/>
      <c r="AG205" s="2393"/>
      <c r="AH205" s="2393"/>
      <c r="AI205" s="2393"/>
      <c r="AJ205" s="2393"/>
      <c r="AK205" s="611"/>
    </row>
    <row r="206" spans="1:40">
      <c r="A206" s="606"/>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c r="AA206" s="2392"/>
      <c r="AB206" s="2392"/>
      <c r="AC206" s="847"/>
      <c r="AD206" s="2393"/>
      <c r="AE206" s="2393"/>
      <c r="AF206" s="2393"/>
      <c r="AG206" s="2393"/>
      <c r="AH206" s="2393"/>
      <c r="AI206" s="2393"/>
      <c r="AJ206" s="2393"/>
      <c r="AK206" s="611"/>
    </row>
    <row r="207" spans="1:40">
      <c r="A207" s="606"/>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c r="AA207" s="2392"/>
      <c r="AB207" s="2392"/>
      <c r="AC207" s="847"/>
      <c r="AD207" s="2393"/>
      <c r="AE207" s="2393"/>
      <c r="AF207" s="2393"/>
      <c r="AG207" s="2393"/>
      <c r="AH207" s="2393"/>
      <c r="AI207" s="2393"/>
      <c r="AJ207" s="2393"/>
      <c r="AK207" s="611"/>
    </row>
    <row r="208" spans="1:40">
      <c r="A208" s="606"/>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847"/>
      <c r="AD208" s="2393"/>
      <c r="AE208" s="2393"/>
      <c r="AF208" s="2393"/>
      <c r="AG208" s="2393"/>
      <c r="AH208" s="2393"/>
      <c r="AI208" s="2393"/>
      <c r="AJ208" s="2393"/>
      <c r="AK208" s="611"/>
    </row>
    <row r="209" spans="1:37">
      <c r="A209" s="606"/>
      <c r="B209" s="2403" t="s">
        <v>1627</v>
      </c>
      <c r="C209" s="2403"/>
      <c r="D209" s="2403"/>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537"/>
      <c r="AD209" s="2422">
        <f>AB260</f>
        <v>0</v>
      </c>
      <c r="AE209" s="2422"/>
      <c r="AF209" s="2422"/>
      <c r="AG209" s="2422"/>
      <c r="AH209" s="2422"/>
      <c r="AI209" s="2422"/>
      <c r="AJ209" s="2422"/>
      <c r="AK209" s="611"/>
    </row>
    <row r="210" spans="1:37">
      <c r="A210" s="606"/>
      <c r="B210" s="2549" t="s">
        <v>1590</v>
      </c>
      <c r="C210" s="2549"/>
      <c r="D210" s="2549"/>
      <c r="E210" s="2549"/>
      <c r="F210" s="2549"/>
      <c r="G210" s="2549"/>
      <c r="H210" s="2549"/>
      <c r="I210" s="2549"/>
      <c r="J210" s="2549"/>
      <c r="K210" s="2549"/>
      <c r="L210" s="2549"/>
      <c r="M210" s="2549"/>
      <c r="N210" s="2549"/>
      <c r="O210" s="2549"/>
      <c r="P210" s="2549"/>
      <c r="Q210" s="2549"/>
      <c r="R210" s="2549"/>
      <c r="S210" s="2549"/>
      <c r="T210" s="2549"/>
      <c r="U210" s="2549"/>
      <c r="V210" s="2549"/>
      <c r="W210" s="2549"/>
      <c r="X210" s="2549"/>
      <c r="Y210" s="2549"/>
      <c r="Z210" s="2549"/>
      <c r="AA210" s="2549"/>
      <c r="AB210" s="2549"/>
      <c r="AC210" s="847"/>
      <c r="AD210" s="2423">
        <f>'Sources and Uses Budget'!B15</f>
        <v>0</v>
      </c>
      <c r="AE210" s="2423"/>
      <c r="AF210" s="2423"/>
      <c r="AG210" s="2423"/>
      <c r="AH210" s="2423"/>
      <c r="AI210" s="2423"/>
      <c r="AJ210" s="2423"/>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7">
        <f>SUM(AD199:AJ209)-AD210</f>
        <v>2800000</v>
      </c>
      <c r="AE211" s="2427"/>
      <c r="AF211" s="2427"/>
      <c r="AG211" s="2427"/>
      <c r="AH211" s="2427"/>
      <c r="AI211" s="2427"/>
      <c r="AJ211" s="242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6" t="s">
        <v>1607</v>
      </c>
      <c r="J222" s="2396"/>
      <c r="K222" s="2396"/>
      <c r="L222" s="537"/>
      <c r="M222" s="537"/>
      <c r="N222" s="537"/>
      <c r="O222" s="537"/>
      <c r="P222" s="537"/>
      <c r="Q222" s="537"/>
      <c r="R222" s="537"/>
      <c r="S222" s="537"/>
      <c r="T222" s="2584" t="s">
        <v>1601</v>
      </c>
      <c r="U222" s="2584"/>
      <c r="V222" s="2584"/>
      <c r="W222" s="2584"/>
      <c r="X222" s="2584"/>
      <c r="Y222" s="2584"/>
      <c r="Z222" s="850"/>
      <c r="AA222" s="490"/>
      <c r="AB222" s="2391" t="s">
        <v>1602</v>
      </c>
      <c r="AC222" s="2391"/>
      <c r="AD222" s="2391"/>
      <c r="AE222" s="2391"/>
      <c r="AF222" s="2391"/>
      <c r="AG222" s="2391"/>
      <c r="AH222" s="828"/>
      <c r="AI222" s="828"/>
      <c r="AJ222" s="828"/>
      <c r="AK222" s="611"/>
    </row>
    <row r="223" spans="1:37">
      <c r="A223" s="606"/>
      <c r="B223" s="2394" t="s">
        <v>1587</v>
      </c>
      <c r="C223" s="2394"/>
      <c r="D223" s="2394"/>
      <c r="E223" s="2394"/>
      <c r="F223" s="2394"/>
      <c r="G223" s="2394"/>
      <c r="I223" s="2395" t="s">
        <v>1608</v>
      </c>
      <c r="J223" s="2395"/>
      <c r="K223" s="2395"/>
      <c r="L223" s="1009"/>
      <c r="N223" s="2401" t="s">
        <v>1603</v>
      </c>
      <c r="O223" s="2401"/>
      <c r="P223" s="2401"/>
      <c r="Q223" s="2401"/>
      <c r="R223" s="2401"/>
      <c r="T223" s="2401" t="s">
        <v>1604</v>
      </c>
      <c r="U223" s="2401"/>
      <c r="V223" s="2401"/>
      <c r="W223" s="2401"/>
      <c r="X223" s="2401"/>
      <c r="Y223" s="2401"/>
      <c r="Z223" s="851"/>
      <c r="AA223" s="490"/>
      <c r="AB223" s="2538" t="s">
        <v>1605</v>
      </c>
      <c r="AC223" s="2538"/>
      <c r="AD223" s="2538"/>
      <c r="AE223" s="2538"/>
      <c r="AF223" s="2538"/>
      <c r="AG223" s="2538"/>
      <c r="AH223" s="828"/>
      <c r="AI223" s="828"/>
      <c r="AJ223" s="828"/>
      <c r="AK223" s="611"/>
    </row>
    <row r="224" spans="1:37">
      <c r="A224" s="606"/>
      <c r="B224" s="2398" t="s">
        <v>1184</v>
      </c>
      <c r="C224" s="2398"/>
      <c r="D224" s="2398"/>
      <c r="E224" s="2398"/>
      <c r="F224" s="2398"/>
      <c r="G224" s="2398"/>
      <c r="H224" s="853"/>
      <c r="I224" s="2397"/>
      <c r="J224" s="2397"/>
      <c r="K224" s="2397"/>
      <c r="L224" s="1009"/>
      <c r="N224" s="2402"/>
      <c r="O224" s="2402"/>
      <c r="P224" s="2402"/>
      <c r="Q224" s="2402"/>
      <c r="R224" s="2402"/>
      <c r="T224" s="2550"/>
      <c r="U224" s="2550"/>
      <c r="V224" s="2550"/>
      <c r="W224" s="2550"/>
      <c r="X224" s="2550"/>
      <c r="Y224" s="2550"/>
      <c r="Z224" s="852"/>
      <c r="AA224" s="852"/>
      <c r="AB224" s="2399">
        <f t="shared" ref="AB224:AB233" si="0">MAX(($T224-$N224)*$I224*12,0)</f>
        <v>0</v>
      </c>
      <c r="AC224" s="2399"/>
      <c r="AD224" s="2399"/>
      <c r="AE224" s="2399"/>
      <c r="AF224" s="2399"/>
      <c r="AG224" s="2399"/>
      <c r="AH224" s="828"/>
      <c r="AI224" s="828"/>
      <c r="AJ224" s="828"/>
      <c r="AK224" s="611"/>
    </row>
    <row r="225" spans="1:37">
      <c r="A225" s="606"/>
      <c r="B225" s="2398" t="s">
        <v>1184</v>
      </c>
      <c r="C225" s="2398"/>
      <c r="D225" s="2398"/>
      <c r="E225" s="2398"/>
      <c r="F225" s="2398"/>
      <c r="G225" s="2398"/>
      <c r="I225" s="2397"/>
      <c r="J225" s="2397"/>
      <c r="K225" s="2397"/>
      <c r="L225" s="1009"/>
      <c r="N225" s="2402"/>
      <c r="O225" s="2402"/>
      <c r="P225" s="2402"/>
      <c r="Q225" s="2402"/>
      <c r="R225" s="2402"/>
      <c r="T225" s="2550"/>
      <c r="U225" s="2550"/>
      <c r="V225" s="2550"/>
      <c r="W225" s="2550"/>
      <c r="X225" s="2550"/>
      <c r="Y225" s="2550"/>
      <c r="Z225" s="852"/>
      <c r="AA225" s="852"/>
      <c r="AB225" s="2399">
        <f t="shared" si="0"/>
        <v>0</v>
      </c>
      <c r="AC225" s="2399"/>
      <c r="AD225" s="2399"/>
      <c r="AE225" s="2399"/>
      <c r="AF225" s="2399"/>
      <c r="AG225" s="2399"/>
      <c r="AH225" s="828"/>
      <c r="AI225" s="828"/>
      <c r="AJ225" s="828"/>
      <c r="AK225" s="611"/>
    </row>
    <row r="226" spans="1:37">
      <c r="A226" s="606"/>
      <c r="B226" s="2398" t="s">
        <v>1184</v>
      </c>
      <c r="C226" s="2398"/>
      <c r="D226" s="2398"/>
      <c r="E226" s="2398"/>
      <c r="F226" s="2398"/>
      <c r="G226" s="2398"/>
      <c r="I226" s="2397"/>
      <c r="J226" s="2397"/>
      <c r="K226" s="2397"/>
      <c r="L226" s="1009"/>
      <c r="N226" s="2402"/>
      <c r="O226" s="2402"/>
      <c r="P226" s="2402"/>
      <c r="Q226" s="2402"/>
      <c r="R226" s="2402"/>
      <c r="T226" s="2550"/>
      <c r="U226" s="2550"/>
      <c r="V226" s="2550"/>
      <c r="W226" s="2550"/>
      <c r="X226" s="2550"/>
      <c r="Y226" s="2550"/>
      <c r="Z226" s="852"/>
      <c r="AA226" s="852"/>
      <c r="AB226" s="2399">
        <f t="shared" si="0"/>
        <v>0</v>
      </c>
      <c r="AC226" s="2399"/>
      <c r="AD226" s="2399"/>
      <c r="AE226" s="2399"/>
      <c r="AF226" s="2399"/>
      <c r="AG226" s="2399"/>
      <c r="AH226" s="828"/>
      <c r="AI226" s="828"/>
      <c r="AJ226" s="828"/>
      <c r="AK226" s="611"/>
    </row>
    <row r="227" spans="1:37">
      <c r="A227" s="606"/>
      <c r="B227" s="2398" t="s">
        <v>1184</v>
      </c>
      <c r="C227" s="2398"/>
      <c r="D227" s="2398"/>
      <c r="E227" s="2398"/>
      <c r="F227" s="2398"/>
      <c r="G227" s="2398"/>
      <c r="I227" s="2397"/>
      <c r="J227" s="2397"/>
      <c r="K227" s="2397"/>
      <c r="L227" s="1009"/>
      <c r="N227" s="2402"/>
      <c r="O227" s="2402"/>
      <c r="P227" s="2402"/>
      <c r="Q227" s="2402"/>
      <c r="R227" s="2402"/>
      <c r="T227" s="2550"/>
      <c r="U227" s="2550"/>
      <c r="V227" s="2550"/>
      <c r="W227" s="2550"/>
      <c r="X227" s="2550"/>
      <c r="Y227" s="2550"/>
      <c r="Z227" s="852"/>
      <c r="AA227" s="852"/>
      <c r="AB227" s="2399">
        <f t="shared" si="0"/>
        <v>0</v>
      </c>
      <c r="AC227" s="2399"/>
      <c r="AD227" s="2399"/>
      <c r="AE227" s="2399"/>
      <c r="AF227" s="2399"/>
      <c r="AG227" s="2399"/>
      <c r="AH227" s="828"/>
      <c r="AI227" s="828"/>
      <c r="AJ227" s="828"/>
      <c r="AK227" s="611"/>
    </row>
    <row r="228" spans="1:37">
      <c r="A228" s="606"/>
      <c r="B228" s="2398" t="s">
        <v>1184</v>
      </c>
      <c r="C228" s="2398"/>
      <c r="D228" s="2398"/>
      <c r="E228" s="2398"/>
      <c r="F228" s="2398"/>
      <c r="G228" s="2398"/>
      <c r="I228" s="2397"/>
      <c r="J228" s="2397"/>
      <c r="K228" s="2397"/>
      <c r="L228" s="1016"/>
      <c r="N228" s="2402"/>
      <c r="O228" s="2402"/>
      <c r="P228" s="2402"/>
      <c r="Q228" s="2402"/>
      <c r="R228" s="2402"/>
      <c r="T228" s="2550"/>
      <c r="U228" s="2550"/>
      <c r="V228" s="2550"/>
      <c r="W228" s="2550"/>
      <c r="X228" s="2550"/>
      <c r="Y228" s="2550"/>
      <c r="Z228" s="852"/>
      <c r="AA228" s="852"/>
      <c r="AB228" s="2399">
        <f t="shared" si="0"/>
        <v>0</v>
      </c>
      <c r="AC228" s="2399"/>
      <c r="AD228" s="2399"/>
      <c r="AE228" s="2399"/>
      <c r="AF228" s="2399"/>
      <c r="AG228" s="2399"/>
      <c r="AH228" s="828"/>
      <c r="AI228" s="828"/>
      <c r="AJ228" s="828"/>
      <c r="AK228" s="611"/>
    </row>
    <row r="229" spans="1:37">
      <c r="A229" s="606"/>
      <c r="B229" s="2398" t="s">
        <v>1184</v>
      </c>
      <c r="C229" s="2398"/>
      <c r="D229" s="2398"/>
      <c r="E229" s="2398"/>
      <c r="F229" s="2398"/>
      <c r="G229" s="2398"/>
      <c r="I229" s="2397"/>
      <c r="J229" s="2397"/>
      <c r="K229" s="2397"/>
      <c r="L229" s="1016"/>
      <c r="N229" s="2402"/>
      <c r="O229" s="2402"/>
      <c r="P229" s="2402"/>
      <c r="Q229" s="2402"/>
      <c r="R229" s="2402"/>
      <c r="T229" s="2550"/>
      <c r="U229" s="2550"/>
      <c r="V229" s="2550"/>
      <c r="W229" s="2550"/>
      <c r="X229" s="2550"/>
      <c r="Y229" s="2550"/>
      <c r="Z229" s="852"/>
      <c r="AA229" s="852"/>
      <c r="AB229" s="2399">
        <f t="shared" si="0"/>
        <v>0</v>
      </c>
      <c r="AC229" s="2399"/>
      <c r="AD229" s="2399"/>
      <c r="AE229" s="2399"/>
      <c r="AF229" s="2399"/>
      <c r="AG229" s="2399"/>
      <c r="AH229" s="828"/>
      <c r="AI229" s="828"/>
      <c r="AJ229" s="828"/>
      <c r="AK229" s="611"/>
    </row>
    <row r="230" spans="1:37">
      <c r="A230" s="606"/>
      <c r="B230" s="2398" t="s">
        <v>1184</v>
      </c>
      <c r="C230" s="2398"/>
      <c r="D230" s="2398"/>
      <c r="E230" s="2398"/>
      <c r="F230" s="2398"/>
      <c r="G230" s="2398"/>
      <c r="I230" s="2397"/>
      <c r="J230" s="2397"/>
      <c r="K230" s="2397"/>
      <c r="L230" s="1016"/>
      <c r="N230" s="2402"/>
      <c r="O230" s="2402"/>
      <c r="P230" s="2402"/>
      <c r="Q230" s="2402"/>
      <c r="R230" s="2402"/>
      <c r="T230" s="2550"/>
      <c r="U230" s="2550"/>
      <c r="V230" s="2550"/>
      <c r="W230" s="2550"/>
      <c r="X230" s="2550"/>
      <c r="Y230" s="2550"/>
      <c r="Z230" s="852"/>
      <c r="AA230" s="852"/>
      <c r="AB230" s="2399">
        <f t="shared" si="0"/>
        <v>0</v>
      </c>
      <c r="AC230" s="2399"/>
      <c r="AD230" s="2399"/>
      <c r="AE230" s="2399"/>
      <c r="AF230" s="2399"/>
      <c r="AG230" s="2399"/>
      <c r="AH230" s="828"/>
      <c r="AI230" s="828"/>
      <c r="AJ230" s="828"/>
      <c r="AK230" s="611"/>
    </row>
    <row r="231" spans="1:37">
      <c r="A231" s="606"/>
      <c r="B231" s="2398" t="s">
        <v>1184</v>
      </c>
      <c r="C231" s="2398"/>
      <c r="D231" s="2398"/>
      <c r="E231" s="2398"/>
      <c r="F231" s="2398"/>
      <c r="G231" s="2398"/>
      <c r="I231" s="2397"/>
      <c r="J231" s="2397"/>
      <c r="K231" s="2397"/>
      <c r="L231" s="1016"/>
      <c r="N231" s="2402"/>
      <c r="O231" s="2402"/>
      <c r="P231" s="2402"/>
      <c r="Q231" s="2402"/>
      <c r="R231" s="2402"/>
      <c r="T231" s="2550"/>
      <c r="U231" s="2550"/>
      <c r="V231" s="2550"/>
      <c r="W231" s="2550"/>
      <c r="X231" s="2550"/>
      <c r="Y231" s="2550"/>
      <c r="Z231" s="852"/>
      <c r="AA231" s="852"/>
      <c r="AB231" s="2399">
        <f t="shared" si="0"/>
        <v>0</v>
      </c>
      <c r="AC231" s="2399"/>
      <c r="AD231" s="2399"/>
      <c r="AE231" s="2399"/>
      <c r="AF231" s="2399"/>
      <c r="AG231" s="2399"/>
      <c r="AH231" s="828"/>
      <c r="AI231" s="828"/>
      <c r="AJ231" s="828"/>
      <c r="AK231" s="611"/>
    </row>
    <row r="232" spans="1:37">
      <c r="A232" s="606"/>
      <c r="B232" s="2398" t="s">
        <v>1184</v>
      </c>
      <c r="C232" s="2398"/>
      <c r="D232" s="2398"/>
      <c r="E232" s="2398"/>
      <c r="F232" s="2398"/>
      <c r="G232" s="2398"/>
      <c r="I232" s="2397"/>
      <c r="J232" s="2397"/>
      <c r="K232" s="2397"/>
      <c r="L232" s="1016"/>
      <c r="N232" s="2402"/>
      <c r="O232" s="2402"/>
      <c r="P232" s="2402"/>
      <c r="Q232" s="2402"/>
      <c r="R232" s="2402"/>
      <c r="T232" s="2550"/>
      <c r="U232" s="2550"/>
      <c r="V232" s="2550"/>
      <c r="W232" s="2550"/>
      <c r="X232" s="2550"/>
      <c r="Y232" s="2550"/>
      <c r="Z232" s="852"/>
      <c r="AA232" s="852"/>
      <c r="AB232" s="2399">
        <f t="shared" si="0"/>
        <v>0</v>
      </c>
      <c r="AC232" s="2399"/>
      <c r="AD232" s="2399"/>
      <c r="AE232" s="2399"/>
      <c r="AF232" s="2399"/>
      <c r="AG232" s="2399"/>
      <c r="AH232" s="828"/>
      <c r="AI232" s="828"/>
      <c r="AJ232" s="828"/>
      <c r="AK232" s="611"/>
    </row>
    <row r="233" spans="1:37">
      <c r="A233" s="606"/>
      <c r="B233" s="2398" t="s">
        <v>1184</v>
      </c>
      <c r="C233" s="2398"/>
      <c r="D233" s="2398"/>
      <c r="E233" s="2398"/>
      <c r="F233" s="2398"/>
      <c r="G233" s="2398"/>
      <c r="I233" s="2400"/>
      <c r="J233" s="2400"/>
      <c r="K233" s="2400"/>
      <c r="L233" s="1016"/>
      <c r="N233" s="2402"/>
      <c r="O233" s="2402"/>
      <c r="P233" s="2402"/>
      <c r="Q233" s="2402"/>
      <c r="R233" s="2402"/>
      <c r="T233" s="2550"/>
      <c r="U233" s="2550"/>
      <c r="V233" s="2550"/>
      <c r="W233" s="2550"/>
      <c r="X233" s="2550"/>
      <c r="Y233" s="2550"/>
      <c r="Z233" s="852"/>
      <c r="AA233" s="852"/>
      <c r="AB233" s="2548">
        <f t="shared" si="0"/>
        <v>0</v>
      </c>
      <c r="AC233" s="2548"/>
      <c r="AD233" s="2548"/>
      <c r="AE233" s="2548"/>
      <c r="AF233" s="2548"/>
      <c r="AG233" s="254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9">
        <f>SUM(AB224:AB233)</f>
        <v>0</v>
      </c>
      <c r="AC234" s="2399"/>
      <c r="AD234" s="2399"/>
      <c r="AE234" s="2399"/>
      <c r="AF234" s="2399"/>
      <c r="AG234" s="239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1"/>
      <c r="AC240" s="2551"/>
      <c r="AD240" s="2551"/>
      <c r="AE240" s="2551"/>
      <c r="AF240" s="2551"/>
      <c r="AG240" s="2551"/>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1"/>
      <c r="AC243" s="2551"/>
      <c r="AD243" s="2551"/>
      <c r="AE243" s="2551"/>
      <c r="AF243" s="2551"/>
      <c r="AG243" s="255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3"/>
      <c r="AC244" s="2583"/>
      <c r="AD244" s="2583"/>
      <c r="AE244" s="2583"/>
      <c r="AF244" s="2583"/>
      <c r="AG244" s="258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5">
        <f>IFERROR(AB243/AB244,0)</f>
        <v>0</v>
      </c>
      <c r="AC245" s="2565"/>
      <c r="AD245" s="2565"/>
      <c r="AE245" s="2565"/>
      <c r="AF245" s="2565"/>
      <c r="AG245" s="256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8">
        <f>MAX(AB240,AB245)</f>
        <v>0</v>
      </c>
      <c r="AC247" s="2548"/>
      <c r="AD247" s="2548"/>
      <c r="AE247" s="2548"/>
      <c r="AF247" s="2548"/>
      <c r="AG247" s="254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9">
        <f>AB234+AB247</f>
        <v>0</v>
      </c>
      <c r="AC250" s="2399"/>
      <c r="AD250" s="2399"/>
      <c r="AE250" s="2399"/>
      <c r="AF250" s="2399"/>
      <c r="AG250" s="239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1">
        <v>0.05</v>
      </c>
      <c r="AC251" s="2431"/>
      <c r="AD251" s="2431"/>
      <c r="AE251" s="2431"/>
      <c r="AF251" s="2431"/>
      <c r="AG251" s="243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2">
        <f>AB250-(AB250*AB251)</f>
        <v>0</v>
      </c>
      <c r="AC252" s="2432"/>
      <c r="AD252" s="2432"/>
      <c r="AE252" s="2432"/>
      <c r="AF252" s="2432"/>
      <c r="AG252" s="243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9">
        <f>AB252/AB258</f>
        <v>0</v>
      </c>
      <c r="AC254" s="2399"/>
      <c r="AD254" s="2399"/>
      <c r="AE254" s="2399"/>
      <c r="AF254" s="2399"/>
      <c r="AG254" s="239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1">
        <v>15</v>
      </c>
      <c r="AC256" s="2391"/>
      <c r="AD256" s="2391"/>
      <c r="AE256" s="2391"/>
      <c r="AF256" s="2391"/>
      <c r="AG256" s="239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3">
        <v>0.04</v>
      </c>
      <c r="AC257" s="2433"/>
      <c r="AD257" s="2433"/>
      <c r="AE257" s="2433"/>
      <c r="AF257" s="2433"/>
      <c r="AG257" s="243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4">
        <v>1.1499999999999999</v>
      </c>
      <c r="AC258" s="2404"/>
      <c r="AD258" s="2404"/>
      <c r="AE258" s="2404"/>
      <c r="AF258" s="2404"/>
      <c r="AG258" s="240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4">
        <f>PV(AB257/12,AB256*12,-AB254/12, ,0)</f>
        <v>0</v>
      </c>
      <c r="AC260" s="2425"/>
      <c r="AD260" s="2425"/>
      <c r="AE260" s="2425"/>
      <c r="AF260" s="2425"/>
      <c r="AG260" s="242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8">
        <f>IFERROR(('Sources and Uses Budget'!D105/'Sources and Uses Budget'!B105),0)</f>
        <v>0</v>
      </c>
      <c r="AC266" s="2429"/>
      <c r="AD266" s="2429"/>
      <c r="AE266" s="2429"/>
      <c r="AF266" s="2429"/>
      <c r="AG266" s="243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8">
        <f>AD211*(1-AB266)</f>
        <v>2800000</v>
      </c>
      <c r="AH268" s="2418"/>
      <c r="AI268" s="2418"/>
      <c r="AJ268" s="2418"/>
      <c r="AK268" s="241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8">
        <f>'Sources and Uses Budget'!C105</f>
        <v>34788390</v>
      </c>
      <c r="AH269" s="2418"/>
      <c r="AI269" s="2418"/>
      <c r="AJ269" s="2418"/>
      <c r="AK269" s="241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9">
        <f>ROUNDDOWN(IF(AND(C292="Yes",AK84=10),((AG268*2)/AG269),AG268/AG269),2)</f>
        <v>0.08</v>
      </c>
      <c r="AH270" s="2419"/>
      <c r="AI270" s="2419"/>
      <c r="AJ270" s="2419"/>
      <c r="AK270" s="241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20">
        <f>IFERROR(IF(AG270=0,0,IF((AG270*100)&gt;8,8,(AG270*100))),0)</f>
        <v>8</v>
      </c>
      <c r="AL273" s="2420"/>
      <c r="AM273" s="2421"/>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412" t="s">
        <v>545</v>
      </c>
      <c r="D278" s="2412"/>
      <c r="E278" s="548"/>
      <c r="F278" s="2569" t="s">
        <v>2026</v>
      </c>
      <c r="G278" s="2570"/>
      <c r="H278" s="2570"/>
      <c r="I278" s="2570"/>
      <c r="J278" s="2570"/>
      <c r="K278" s="2570"/>
      <c r="L278" s="2570"/>
      <c r="M278" s="2570"/>
      <c r="N278" s="2570"/>
      <c r="O278" s="2570"/>
      <c r="P278" s="2570"/>
      <c r="Q278" s="2570"/>
      <c r="R278" s="2570"/>
      <c r="S278" s="2570"/>
      <c r="T278" s="2570"/>
      <c r="U278" s="2570"/>
      <c r="V278" s="2570"/>
      <c r="W278" s="2570"/>
      <c r="X278" s="2570"/>
      <c r="Y278" s="2570"/>
      <c r="Z278" s="2570"/>
      <c r="AA278" s="2570"/>
      <c r="AB278" s="2570"/>
      <c r="AC278" s="2570"/>
      <c r="AD278" s="2571"/>
      <c r="AE278" s="551"/>
      <c r="AF278" s="636"/>
      <c r="AG278" s="2413" t="s">
        <v>1363</v>
      </c>
      <c r="AH278" s="2413"/>
      <c r="AI278" s="2413"/>
      <c r="AJ278" s="2413"/>
      <c r="AK278" s="551"/>
      <c r="AL278" s="551"/>
      <c r="AM278" s="551"/>
      <c r="AO278" s="551"/>
    </row>
    <row r="279" spans="1:52" ht="13.8" customHeight="1">
      <c r="A279" s="551"/>
      <c r="B279" s="597"/>
      <c r="C279" s="637"/>
      <c r="D279" s="551"/>
      <c r="E279" s="548"/>
      <c r="F279" s="2572"/>
      <c r="G279" s="2573"/>
      <c r="H279" s="2573"/>
      <c r="I279" s="2573"/>
      <c r="J279" s="2573"/>
      <c r="K279" s="2573"/>
      <c r="L279" s="2573"/>
      <c r="M279" s="2573"/>
      <c r="N279" s="2573"/>
      <c r="O279" s="2573"/>
      <c r="P279" s="2573"/>
      <c r="Q279" s="2573"/>
      <c r="R279" s="2573"/>
      <c r="S279" s="2573"/>
      <c r="T279" s="2573"/>
      <c r="U279" s="2573"/>
      <c r="V279" s="2573"/>
      <c r="W279" s="2573"/>
      <c r="X279" s="2573"/>
      <c r="Y279" s="2573"/>
      <c r="Z279" s="2573"/>
      <c r="AA279" s="2573"/>
      <c r="AB279" s="2573"/>
      <c r="AC279" s="2573"/>
      <c r="AD279" s="2574"/>
      <c r="AE279" s="551"/>
      <c r="AF279" s="636"/>
      <c r="AG279" s="636"/>
      <c r="AH279" s="636"/>
      <c r="AI279" s="636"/>
      <c r="AJ279" s="551"/>
      <c r="AK279" s="551"/>
      <c r="AL279" s="551"/>
      <c r="AM279" s="551"/>
      <c r="AO279" s="551"/>
    </row>
    <row r="280" spans="1:52">
      <c r="A280" s="551"/>
      <c r="B280" s="597"/>
      <c r="C280" s="637"/>
      <c r="D280" s="551"/>
      <c r="E280" s="548"/>
      <c r="F280" s="2572"/>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4"/>
      <c r="AE280" s="551"/>
      <c r="AF280" s="636"/>
      <c r="AG280" s="636"/>
      <c r="AH280" s="636"/>
      <c r="AI280" s="636"/>
      <c r="AJ280" s="551"/>
      <c r="AK280" s="551"/>
      <c r="AL280" s="551"/>
      <c r="AM280" s="551"/>
      <c r="AO280" s="551"/>
      <c r="AP280" s="638"/>
    </row>
    <row r="281" spans="1:52">
      <c r="A281" s="551"/>
      <c r="B281" s="597"/>
      <c r="C281" s="637"/>
      <c r="D281" s="551"/>
      <c r="E281" s="548"/>
      <c r="F281" s="2572"/>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4"/>
      <c r="AE281" s="551"/>
      <c r="AF281" s="636"/>
      <c r="AG281" s="636"/>
      <c r="AH281" s="636"/>
      <c r="AI281" s="636"/>
      <c r="AJ281" s="551"/>
      <c r="AK281" s="551"/>
      <c r="AL281" s="551"/>
      <c r="AM281" s="551"/>
      <c r="AO281" s="551"/>
      <c r="AP281" s="638"/>
    </row>
    <row r="282" spans="1:52" ht="13.8" customHeight="1">
      <c r="A282" s="551"/>
      <c r="B282" s="597"/>
      <c r="C282" s="2414"/>
      <c r="D282" s="2414"/>
      <c r="E282" s="548"/>
      <c r="F282" s="2575"/>
      <c r="G282" s="2576"/>
      <c r="H282" s="2576"/>
      <c r="I282" s="2576"/>
      <c r="J282" s="2576"/>
      <c r="K282" s="2576"/>
      <c r="L282" s="2576"/>
      <c r="M282" s="2576"/>
      <c r="N282" s="2576"/>
      <c r="O282" s="2576"/>
      <c r="P282" s="2576"/>
      <c r="Q282" s="2576"/>
      <c r="R282" s="2576"/>
      <c r="S282" s="2576"/>
      <c r="T282" s="2576"/>
      <c r="U282" s="2576"/>
      <c r="V282" s="2576"/>
      <c r="W282" s="2576"/>
      <c r="X282" s="2576"/>
      <c r="Y282" s="2576"/>
      <c r="Z282" s="2576"/>
      <c r="AA282" s="2576"/>
      <c r="AB282" s="2576"/>
      <c r="AC282" s="2576"/>
      <c r="AD282" s="2577"/>
      <c r="AE282" s="551"/>
      <c r="AF282" s="636"/>
      <c r="AG282" s="2413"/>
      <c r="AH282" s="2413"/>
      <c r="AI282" s="2413"/>
      <c r="AJ282" s="2413"/>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20">
        <f>IF($C$278="yes",10,0)</f>
        <v>10</v>
      </c>
      <c r="AL285" s="2420"/>
      <c r="AM285" s="2421"/>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08" t="s">
        <v>591</v>
      </c>
      <c r="D292" s="2412"/>
      <c r="E292" s="548"/>
      <c r="F292" s="2440" t="s">
        <v>1383</v>
      </c>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2"/>
      <c r="AE292" s="643"/>
      <c r="AF292" s="551"/>
      <c r="AG292" s="2443" t="s">
        <v>2019</v>
      </c>
      <c r="AH292" s="2443"/>
      <c r="AI292" s="2443"/>
      <c r="AJ292" s="2443"/>
      <c r="AK292" s="2443"/>
      <c r="AL292" s="551"/>
      <c r="AM292" s="551"/>
      <c r="AN292" s="73"/>
      <c r="AO292" s="14"/>
      <c r="AP292" s="30"/>
      <c r="AS292" s="571"/>
      <c r="AT292" s="571"/>
      <c r="AU292" s="571"/>
      <c r="AV292" s="32"/>
      <c r="AW292" s="32"/>
    </row>
    <row r="293" spans="1:49">
      <c r="A293" s="641"/>
      <c r="B293" s="597"/>
      <c r="F293" s="2434"/>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4"/>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4" t="s">
        <v>2027</v>
      </c>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6"/>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34"/>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4" t="s">
        <v>1384</v>
      </c>
      <c r="G297" s="2435"/>
      <c r="H297" s="2435"/>
      <c r="I297" s="2435"/>
      <c r="J297" s="2435"/>
      <c r="K297" s="2435"/>
      <c r="L297" s="2435"/>
      <c r="M297" s="2435"/>
      <c r="N297" s="2435"/>
      <c r="O297" s="2435"/>
      <c r="P297" s="2435"/>
      <c r="Q297" s="2435"/>
      <c r="R297" s="2435"/>
      <c r="S297" s="2435"/>
      <c r="T297" s="2435"/>
      <c r="U297" s="2435"/>
      <c r="V297" s="2435"/>
      <c r="W297" s="2435"/>
      <c r="X297" s="2435"/>
      <c r="Y297" s="2435"/>
      <c r="Z297" s="2435"/>
      <c r="AA297" s="2435"/>
      <c r="AB297" s="2435"/>
      <c r="AC297" s="2435"/>
      <c r="AD297" s="243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4"/>
      <c r="G298" s="2435"/>
      <c r="H298" s="2435"/>
      <c r="I298" s="2435"/>
      <c r="J298" s="2435"/>
      <c r="K298" s="2435"/>
      <c r="L298" s="2435"/>
      <c r="M298" s="2435"/>
      <c r="N298" s="2435"/>
      <c r="O298" s="2435"/>
      <c r="P298" s="2435"/>
      <c r="Q298" s="2435"/>
      <c r="R298" s="2435"/>
      <c r="S298" s="2435"/>
      <c r="T298" s="2435"/>
      <c r="U298" s="2435"/>
      <c r="V298" s="2435"/>
      <c r="W298" s="2435"/>
      <c r="X298" s="2435"/>
      <c r="Y298" s="2435"/>
      <c r="Z298" s="2435"/>
      <c r="AA298" s="2435"/>
      <c r="AB298" s="2435"/>
      <c r="AC298" s="2435"/>
      <c r="AD298" s="243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4" t="s">
        <v>1385</v>
      </c>
      <c r="G299" s="2435"/>
      <c r="H299" s="2435"/>
      <c r="I299" s="2435"/>
      <c r="J299" s="2435"/>
      <c r="K299" s="2435"/>
      <c r="L299" s="2435"/>
      <c r="M299" s="2435"/>
      <c r="N299" s="2435"/>
      <c r="O299" s="2435"/>
      <c r="P299" s="2435"/>
      <c r="Q299" s="2435"/>
      <c r="R299" s="2435"/>
      <c r="S299" s="2435"/>
      <c r="T299" s="2435"/>
      <c r="U299" s="2435"/>
      <c r="V299" s="2435"/>
      <c r="W299" s="2435"/>
      <c r="X299" s="2435"/>
      <c r="Y299" s="2435"/>
      <c r="Z299" s="2435"/>
      <c r="AA299" s="2435"/>
      <c r="AB299" s="2435"/>
      <c r="AC299" s="2435"/>
      <c r="AD299" s="243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7"/>
      <c r="G300" s="2438"/>
      <c r="H300" s="2438"/>
      <c r="I300" s="2438"/>
      <c r="J300" s="2438"/>
      <c r="K300" s="2438"/>
      <c r="L300" s="2438"/>
      <c r="M300" s="2438"/>
      <c r="N300" s="2438"/>
      <c r="O300" s="2438"/>
      <c r="P300" s="2438"/>
      <c r="Q300" s="2438"/>
      <c r="R300" s="2438"/>
      <c r="S300" s="2438"/>
      <c r="T300" s="2438"/>
      <c r="U300" s="2438"/>
      <c r="V300" s="2438"/>
      <c r="W300" s="2438"/>
      <c r="X300" s="2438"/>
      <c r="Y300" s="2438"/>
      <c r="Z300" s="2438"/>
      <c r="AA300" s="2438"/>
      <c r="AB300" s="2438"/>
      <c r="AC300" s="2438"/>
      <c r="AD300" s="243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12" t="s">
        <v>545</v>
      </c>
      <c r="D302" s="241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2" t="s">
        <v>2021</v>
      </c>
      <c r="G303" s="2343"/>
      <c r="H303" s="2343"/>
      <c r="I303" s="2343"/>
      <c r="J303" s="2343"/>
      <c r="K303" s="2343"/>
      <c r="L303" s="2343"/>
      <c r="M303" s="2343"/>
      <c r="N303" s="2343"/>
      <c r="O303" s="2343"/>
      <c r="P303" s="2343"/>
      <c r="Q303" s="2343"/>
      <c r="R303" s="2343"/>
      <c r="S303" s="2343"/>
      <c r="T303" s="2343"/>
      <c r="U303" s="2343"/>
      <c r="V303" s="2343"/>
      <c r="W303" s="2343"/>
      <c r="X303" s="2343"/>
      <c r="Y303" s="2343"/>
      <c r="Z303" s="2343"/>
      <c r="AA303" s="2343"/>
      <c r="AB303" s="2343"/>
      <c r="AC303" s="2343"/>
      <c r="AD303" s="2344"/>
      <c r="AE303" s="552"/>
      <c r="AF303" s="552"/>
      <c r="AG303" s="552"/>
      <c r="AH303" s="552"/>
      <c r="AI303" s="552"/>
      <c r="AJ303" s="551"/>
      <c r="AK303" s="551"/>
      <c r="AL303" s="551"/>
      <c r="AM303" s="551"/>
      <c r="AR303" s="649"/>
    </row>
    <row r="304" spans="1:49" ht="15" customHeight="1">
      <c r="A304" s="551"/>
      <c r="B304" s="552"/>
      <c r="C304" s="551"/>
      <c r="D304" s="552"/>
      <c r="E304" s="551"/>
      <c r="F304" s="2342"/>
      <c r="G304" s="2343"/>
      <c r="H304" s="2343"/>
      <c r="I304" s="2343"/>
      <c r="J304" s="2343"/>
      <c r="K304" s="2343"/>
      <c r="L304" s="2343"/>
      <c r="M304" s="2343"/>
      <c r="N304" s="2343"/>
      <c r="O304" s="2343"/>
      <c r="P304" s="2343"/>
      <c r="Q304" s="2343"/>
      <c r="R304" s="2343"/>
      <c r="S304" s="2343"/>
      <c r="T304" s="2343"/>
      <c r="U304" s="2343"/>
      <c r="V304" s="2343"/>
      <c r="W304" s="2343"/>
      <c r="X304" s="2343"/>
      <c r="Y304" s="2343"/>
      <c r="Z304" s="2343"/>
      <c r="AA304" s="2343"/>
      <c r="AB304" s="2343"/>
      <c r="AC304" s="2343"/>
      <c r="AD304" s="2344"/>
      <c r="AE304" s="552"/>
      <c r="AF304" s="552"/>
      <c r="AG304" s="552"/>
      <c r="AH304" s="552"/>
      <c r="AI304" s="552"/>
      <c r="AJ304" s="551"/>
      <c r="AK304" s="551"/>
      <c r="AL304" s="551"/>
      <c r="AM304" s="551"/>
      <c r="AR304" s="649"/>
    </row>
    <row r="305" spans="1:44">
      <c r="A305" s="551"/>
      <c r="B305" s="552"/>
      <c r="C305" s="551"/>
      <c r="D305" s="552"/>
      <c r="E305" s="551"/>
      <c r="F305" s="2342"/>
      <c r="G305" s="2343"/>
      <c r="H305" s="2343"/>
      <c r="I305" s="2343"/>
      <c r="J305" s="2343"/>
      <c r="K305" s="2343"/>
      <c r="L305" s="2343"/>
      <c r="M305" s="2343"/>
      <c r="N305" s="2343"/>
      <c r="O305" s="2343"/>
      <c r="P305" s="2343"/>
      <c r="Q305" s="2343"/>
      <c r="R305" s="2343"/>
      <c r="S305" s="2343"/>
      <c r="T305" s="2343"/>
      <c r="U305" s="2343"/>
      <c r="V305" s="2343"/>
      <c r="W305" s="2343"/>
      <c r="X305" s="2343"/>
      <c r="Y305" s="2343"/>
      <c r="Z305" s="2343"/>
      <c r="AA305" s="2343"/>
      <c r="AB305" s="2343"/>
      <c r="AC305" s="2343"/>
      <c r="AD305" s="234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9"/>
      <c r="G306" s="2340"/>
      <c r="H306" s="2340"/>
      <c r="I306" s="2340"/>
      <c r="J306" s="2340"/>
      <c r="K306" s="2340"/>
      <c r="L306" s="2340"/>
      <c r="M306" s="2340"/>
      <c r="N306" s="2340"/>
      <c r="O306" s="2340"/>
      <c r="P306" s="2340"/>
      <c r="Q306" s="2340"/>
      <c r="R306" s="2340"/>
      <c r="S306" s="2340"/>
      <c r="T306" s="2340"/>
      <c r="U306" s="2340"/>
      <c r="V306" s="2340"/>
      <c r="W306" s="2340"/>
      <c r="X306" s="2340"/>
      <c r="Y306" s="2340"/>
      <c r="Z306" s="2340"/>
      <c r="AA306" s="2340"/>
      <c r="AB306" s="2340"/>
      <c r="AC306" s="2340"/>
      <c r="AD306" s="234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8" t="s">
        <v>1389</v>
      </c>
      <c r="B310" s="1628"/>
      <c r="C310" s="2412" t="s">
        <v>591</v>
      </c>
      <c r="D310" s="241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34" t="s">
        <v>2028</v>
      </c>
      <c r="G311" s="2435"/>
      <c r="H311" s="2435"/>
      <c r="I311" s="2435"/>
      <c r="J311" s="2435"/>
      <c r="K311" s="2435"/>
      <c r="L311" s="2435"/>
      <c r="M311" s="2435"/>
      <c r="N311" s="2435"/>
      <c r="O311" s="2435"/>
      <c r="P311" s="2435"/>
      <c r="Q311" s="2435"/>
      <c r="R311" s="2435"/>
      <c r="S311" s="2435"/>
      <c r="T311" s="2435"/>
      <c r="U311" s="2435"/>
      <c r="V311" s="2435"/>
      <c r="W311" s="2435"/>
      <c r="X311" s="2435"/>
      <c r="Y311" s="2435"/>
      <c r="Z311" s="2435"/>
      <c r="AA311" s="2435"/>
      <c r="AB311" s="2435"/>
      <c r="AC311" s="2435"/>
      <c r="AD311" s="2436"/>
      <c r="AE311" s="552"/>
      <c r="AF311" s="552"/>
      <c r="AG311" s="540"/>
      <c r="AH311" s="552"/>
      <c r="AI311" s="552"/>
      <c r="AJ311" s="551"/>
      <c r="AK311" s="551"/>
      <c r="AL311" s="551"/>
      <c r="AM311" s="551"/>
      <c r="AN311" s="73"/>
      <c r="AO311" s="14"/>
      <c r="AP311" s="558" t="s">
        <v>1184</v>
      </c>
    </row>
    <row r="312" spans="1:44" hidden="1">
      <c r="F312" s="2434"/>
      <c r="G312" s="2435"/>
      <c r="H312" s="2435"/>
      <c r="I312" s="2435"/>
      <c r="J312" s="2435"/>
      <c r="K312" s="2435"/>
      <c r="L312" s="2435"/>
      <c r="M312" s="2435"/>
      <c r="N312" s="2435"/>
      <c r="O312" s="2435"/>
      <c r="P312" s="2435"/>
      <c r="Q312" s="2435"/>
      <c r="R312" s="2435"/>
      <c r="S312" s="2435"/>
      <c r="T312" s="2435"/>
      <c r="U312" s="2435"/>
      <c r="V312" s="2435"/>
      <c r="W312" s="2435"/>
      <c r="X312" s="2435"/>
      <c r="Y312" s="2435"/>
      <c r="Z312" s="2435"/>
      <c r="AA312" s="2435"/>
      <c r="AB312" s="2435"/>
      <c r="AC312" s="2435"/>
      <c r="AD312" s="2436"/>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4" t="s">
        <v>1184</v>
      </c>
      <c r="G316" s="2445"/>
      <c r="H316" s="2445"/>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643"/>
      <c r="AF316" s="643"/>
      <c r="AG316" s="643"/>
      <c r="AH316" s="643"/>
      <c r="AI316" s="643"/>
      <c r="AJ316" s="643"/>
      <c r="AK316" s="643"/>
      <c r="AL316" s="551"/>
      <c r="AM316" s="551"/>
      <c r="AN316" s="73"/>
      <c r="AO316" s="14"/>
      <c r="AP316" s="30"/>
    </row>
    <row r="317" spans="1:44" hidden="1">
      <c r="A317" s="551"/>
      <c r="B317" s="552"/>
      <c r="C317" s="731"/>
      <c r="D317" s="731"/>
      <c r="E317" s="548"/>
      <c r="F317" s="2444"/>
      <c r="G317" s="2445"/>
      <c r="H317" s="2445"/>
      <c r="I317" s="2445"/>
      <c r="J317" s="2445"/>
      <c r="K317" s="2445"/>
      <c r="L317" s="2445"/>
      <c r="M317" s="2445"/>
      <c r="N317" s="2445"/>
      <c r="O317" s="2445"/>
      <c r="P317" s="2445"/>
      <c r="Q317" s="2445"/>
      <c r="R317" s="2445"/>
      <c r="S317" s="2445"/>
      <c r="T317" s="2445"/>
      <c r="U317" s="2445"/>
      <c r="V317" s="2445"/>
      <c r="W317" s="2445"/>
      <c r="X317" s="2445"/>
      <c r="Y317" s="2445"/>
      <c r="Z317" s="2445"/>
      <c r="AA317" s="2445"/>
      <c r="AB317" s="2445"/>
      <c r="AC317" s="2445"/>
      <c r="AD317" s="2446"/>
      <c r="AE317" s="552"/>
      <c r="AF317" s="552"/>
      <c r="AG317" s="540"/>
      <c r="AH317" s="552"/>
      <c r="AI317" s="552"/>
      <c r="AJ317" s="551"/>
      <c r="AK317" s="551"/>
      <c r="AL317" s="551"/>
      <c r="AM317" s="551"/>
      <c r="AN317" s="73"/>
      <c r="AO317" s="14"/>
      <c r="AP317" s="30"/>
    </row>
    <row r="318" spans="1:44" hidden="1">
      <c r="A318" s="551"/>
      <c r="B318" s="552"/>
      <c r="C318" s="731"/>
      <c r="D318" s="731"/>
      <c r="E318" s="548"/>
      <c r="F318" s="2444"/>
      <c r="G318" s="2445"/>
      <c r="H318" s="2445"/>
      <c r="I318" s="2445"/>
      <c r="J318" s="2445"/>
      <c r="K318" s="2445"/>
      <c r="L318" s="2445"/>
      <c r="M318" s="2445"/>
      <c r="N318" s="2445"/>
      <c r="O318" s="2445"/>
      <c r="P318" s="2445"/>
      <c r="Q318" s="2445"/>
      <c r="R318" s="2445"/>
      <c r="S318" s="2445"/>
      <c r="T318" s="2445"/>
      <c r="U318" s="2445"/>
      <c r="V318" s="2445"/>
      <c r="W318" s="2445"/>
      <c r="X318" s="2445"/>
      <c r="Y318" s="2445"/>
      <c r="Z318" s="2445"/>
      <c r="AA318" s="2445"/>
      <c r="AB318" s="2445"/>
      <c r="AC318" s="2445"/>
      <c r="AD318" s="2446"/>
      <c r="AE318" s="552"/>
      <c r="AF318" s="552"/>
      <c r="AG318" s="540"/>
      <c r="AH318" s="552"/>
      <c r="AI318" s="552"/>
      <c r="AJ318" s="551"/>
      <c r="AK318" s="551"/>
      <c r="AL318" s="551"/>
      <c r="AM318" s="551"/>
      <c r="AN318" s="73"/>
      <c r="AO318" s="14"/>
      <c r="AP318" s="30"/>
    </row>
    <row r="319" spans="1:44" hidden="1">
      <c r="A319" s="551"/>
      <c r="B319" s="552"/>
      <c r="C319" s="731"/>
      <c r="D319" s="731"/>
      <c r="E319" s="548"/>
      <c r="F319" s="2444"/>
      <c r="G319" s="2445"/>
      <c r="H319" s="2445"/>
      <c r="I319" s="2445"/>
      <c r="J319" s="2445"/>
      <c r="K319" s="2445"/>
      <c r="L319" s="2445"/>
      <c r="M319" s="2445"/>
      <c r="N319" s="2445"/>
      <c r="O319" s="2445"/>
      <c r="P319" s="2445"/>
      <c r="Q319" s="2445"/>
      <c r="R319" s="2445"/>
      <c r="S319" s="2445"/>
      <c r="T319" s="2445"/>
      <c r="U319" s="2445"/>
      <c r="V319" s="2445"/>
      <c r="W319" s="2445"/>
      <c r="X319" s="2445"/>
      <c r="Y319" s="2445"/>
      <c r="Z319" s="2445"/>
      <c r="AA319" s="2445"/>
      <c r="AB319" s="2445"/>
      <c r="AC319" s="2445"/>
      <c r="AD319" s="2446"/>
      <c r="AE319" s="552"/>
      <c r="AF319" s="552"/>
      <c r="AG319" s="540"/>
      <c r="AH319" s="552"/>
      <c r="AI319" s="552"/>
      <c r="AJ319" s="551"/>
      <c r="AK319" s="551"/>
      <c r="AL319" s="551"/>
      <c r="AM319" s="551"/>
      <c r="AN319" s="73"/>
      <c r="AO319" s="14"/>
      <c r="AP319" s="30"/>
    </row>
    <row r="320" spans="1:44" hidden="1">
      <c r="A320" s="551"/>
      <c r="B320" s="552"/>
      <c r="C320" s="731"/>
      <c r="D320" s="731"/>
      <c r="E320" s="548"/>
      <c r="F320" s="2447"/>
      <c r="G320" s="2448"/>
      <c r="H320" s="2448"/>
      <c r="I320" s="2448"/>
      <c r="J320" s="2448"/>
      <c r="K320" s="2448"/>
      <c r="L320" s="2448"/>
      <c r="M320" s="2448"/>
      <c r="N320" s="2448"/>
      <c r="O320" s="2448"/>
      <c r="P320" s="2448"/>
      <c r="Q320" s="2448"/>
      <c r="R320" s="2448"/>
      <c r="S320" s="2448"/>
      <c r="T320" s="2448"/>
      <c r="U320" s="2448"/>
      <c r="V320" s="2448"/>
      <c r="W320" s="2448"/>
      <c r="X320" s="2448"/>
      <c r="Y320" s="2448"/>
      <c r="Z320" s="2448"/>
      <c r="AA320" s="2448"/>
      <c r="AB320" s="2448"/>
      <c r="AC320" s="2448"/>
      <c r="AD320" s="2449"/>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50" t="s">
        <v>1184</v>
      </c>
      <c r="J324" s="2450"/>
      <c r="K324" s="2450"/>
      <c r="L324" s="2450"/>
      <c r="M324" s="2450"/>
      <c r="N324" s="2450"/>
      <c r="O324" s="2450"/>
      <c r="P324" s="2450"/>
      <c r="Q324" s="2450"/>
      <c r="R324" s="2450"/>
      <c r="S324" s="2450"/>
      <c r="T324" s="2450"/>
      <c r="U324" s="2450"/>
      <c r="V324" s="2450"/>
      <c r="W324" s="2450"/>
      <c r="X324" s="2450"/>
      <c r="Y324" s="2450"/>
      <c r="Z324" s="2450"/>
      <c r="AA324" s="2450"/>
      <c r="AB324" s="2450"/>
      <c r="AC324" s="2450"/>
      <c r="AD324" s="2451"/>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50"/>
      <c r="J325" s="2450"/>
      <c r="K325" s="2450"/>
      <c r="L325" s="2450"/>
      <c r="M325" s="2450"/>
      <c r="N325" s="2450"/>
      <c r="O325" s="2450"/>
      <c r="P325" s="2450"/>
      <c r="Q325" s="2450"/>
      <c r="R325" s="2450"/>
      <c r="S325" s="2450"/>
      <c r="T325" s="2450"/>
      <c r="U325" s="2450"/>
      <c r="V325" s="2450"/>
      <c r="W325" s="2450"/>
      <c r="X325" s="2450"/>
      <c r="Y325" s="2450"/>
      <c r="Z325" s="2450"/>
      <c r="AA325" s="2450"/>
      <c r="AB325" s="2450"/>
      <c r="AC325" s="2450"/>
      <c r="AD325" s="2451"/>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50"/>
      <c r="J326" s="2450"/>
      <c r="K326" s="2450"/>
      <c r="L326" s="2450"/>
      <c r="M326" s="2450"/>
      <c r="N326" s="2450"/>
      <c r="O326" s="2450"/>
      <c r="P326" s="2450"/>
      <c r="Q326" s="2450"/>
      <c r="R326" s="2450"/>
      <c r="S326" s="2450"/>
      <c r="T326" s="2450"/>
      <c r="U326" s="2450"/>
      <c r="V326" s="2450"/>
      <c r="W326" s="2450"/>
      <c r="X326" s="2450"/>
      <c r="Y326" s="2450"/>
      <c r="Z326" s="2450"/>
      <c r="AA326" s="2450"/>
      <c r="AB326" s="2450"/>
      <c r="AC326" s="2450"/>
      <c r="AD326" s="2451"/>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52"/>
      <c r="J327" s="2452"/>
      <c r="K327" s="2452"/>
      <c r="L327" s="2452"/>
      <c r="M327" s="2452"/>
      <c r="N327" s="2452"/>
      <c r="O327" s="2452"/>
      <c r="P327" s="2452"/>
      <c r="Q327" s="2452"/>
      <c r="R327" s="2452"/>
      <c r="S327" s="2452"/>
      <c r="T327" s="2452"/>
      <c r="U327" s="2452"/>
      <c r="V327" s="2452"/>
      <c r="W327" s="2452"/>
      <c r="X327" s="2452"/>
      <c r="Y327" s="2452"/>
      <c r="Z327" s="2452"/>
      <c r="AA327" s="2452"/>
      <c r="AB327" s="2452"/>
      <c r="AC327" s="2452"/>
      <c r="AD327" s="2453"/>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50" t="s">
        <v>1184</v>
      </c>
      <c r="J329" s="2450"/>
      <c r="K329" s="2450"/>
      <c r="L329" s="2450"/>
      <c r="M329" s="2450"/>
      <c r="N329" s="2450"/>
      <c r="O329" s="2450"/>
      <c r="P329" s="2450"/>
      <c r="Q329" s="2450"/>
      <c r="R329" s="2450"/>
      <c r="S329" s="2450"/>
      <c r="T329" s="2450"/>
      <c r="U329" s="2450"/>
      <c r="V329" s="2450"/>
      <c r="W329" s="2450"/>
      <c r="X329" s="2450"/>
      <c r="Y329" s="2450"/>
      <c r="Z329" s="2450"/>
      <c r="AA329" s="2450"/>
      <c r="AB329" s="2450"/>
      <c r="AC329" s="2450"/>
      <c r="AD329" s="2451"/>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0"/>
      <c r="J330" s="2450"/>
      <c r="K330" s="2450"/>
      <c r="L330" s="2450"/>
      <c r="M330" s="2450"/>
      <c r="N330" s="2450"/>
      <c r="O330" s="2450"/>
      <c r="P330" s="2450"/>
      <c r="Q330" s="2450"/>
      <c r="R330" s="2450"/>
      <c r="S330" s="2450"/>
      <c r="T330" s="2450"/>
      <c r="U330" s="2450"/>
      <c r="V330" s="2450"/>
      <c r="W330" s="2450"/>
      <c r="X330" s="2450"/>
      <c r="Y330" s="2450"/>
      <c r="Z330" s="2450"/>
      <c r="AA330" s="2450"/>
      <c r="AB330" s="2450"/>
      <c r="AC330" s="2450"/>
      <c r="AD330" s="2451"/>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52"/>
      <c r="J331" s="2452"/>
      <c r="K331" s="2452"/>
      <c r="L331" s="2452"/>
      <c r="M331" s="2452"/>
      <c r="N331" s="2452"/>
      <c r="O331" s="2452"/>
      <c r="P331" s="2452"/>
      <c r="Q331" s="2452"/>
      <c r="R331" s="2452"/>
      <c r="S331" s="2452"/>
      <c r="T331" s="2452"/>
      <c r="U331" s="2452"/>
      <c r="V331" s="2452"/>
      <c r="W331" s="2452"/>
      <c r="X331" s="2452"/>
      <c r="Y331" s="2452"/>
      <c r="Z331" s="2452"/>
      <c r="AA331" s="2452"/>
      <c r="AB331" s="2452"/>
      <c r="AC331" s="2452"/>
      <c r="AD331" s="245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12" t="s">
        <v>591</v>
      </c>
      <c r="D333" s="2412"/>
      <c r="E333" s="548"/>
      <c r="F333" s="2336" t="s">
        <v>2029</v>
      </c>
      <c r="G333" s="2337"/>
      <c r="H333" s="2337"/>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7"/>
      <c r="AD333" s="233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2"/>
      <c r="G334" s="2343"/>
      <c r="H334" s="2343"/>
      <c r="I334" s="2343"/>
      <c r="J334" s="2343"/>
      <c r="K334" s="2343"/>
      <c r="L334" s="2343"/>
      <c r="M334" s="2343"/>
      <c r="N334" s="2343"/>
      <c r="O334" s="2343"/>
      <c r="P334" s="2343"/>
      <c r="Q334" s="2343"/>
      <c r="R334" s="2343"/>
      <c r="S334" s="2343"/>
      <c r="T334" s="2343"/>
      <c r="U334" s="2343"/>
      <c r="V334" s="2343"/>
      <c r="W334" s="2343"/>
      <c r="X334" s="2343"/>
      <c r="Y334" s="2343"/>
      <c r="Z334" s="2343"/>
      <c r="AA334" s="2343"/>
      <c r="AB334" s="2343"/>
      <c r="AC334" s="2343"/>
      <c r="AD334" s="2344"/>
      <c r="AE334" s="552"/>
      <c r="AF334" s="552"/>
      <c r="AG334" s="552"/>
      <c r="AH334" s="552"/>
      <c r="AI334" s="552"/>
      <c r="AJ334" s="551"/>
      <c r="AK334" s="551"/>
      <c r="AL334" s="551"/>
      <c r="AM334" s="551"/>
      <c r="AN334" s="73"/>
      <c r="AO334" s="14"/>
    </row>
    <row r="335" spans="1:42" ht="15" hidden="1" customHeight="1">
      <c r="A335" s="551"/>
      <c r="B335" s="552"/>
      <c r="C335" s="552"/>
      <c r="D335" s="552"/>
      <c r="E335" s="552"/>
      <c r="F335" s="2342"/>
      <c r="G335" s="2343"/>
      <c r="H335" s="2343"/>
      <c r="I335" s="2343"/>
      <c r="J335" s="2343"/>
      <c r="K335" s="2343"/>
      <c r="L335" s="2343"/>
      <c r="M335" s="2343"/>
      <c r="N335" s="2343"/>
      <c r="O335" s="2343"/>
      <c r="P335" s="2343"/>
      <c r="Q335" s="2343"/>
      <c r="R335" s="2343"/>
      <c r="S335" s="2343"/>
      <c r="T335" s="2343"/>
      <c r="U335" s="2343"/>
      <c r="V335" s="2343"/>
      <c r="W335" s="2343"/>
      <c r="X335" s="2343"/>
      <c r="Y335" s="2343"/>
      <c r="Z335" s="2343"/>
      <c r="AA335" s="2343"/>
      <c r="AB335" s="2343"/>
      <c r="AC335" s="2343"/>
      <c r="AD335" s="234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5">
        <f>IF(NOT(OR(Application!M355="Yes",Application!M356="Yes")),0,AP295)</f>
        <v>9</v>
      </c>
      <c r="AL338" s="2416"/>
      <c r="AM338" s="241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5" t="s">
        <v>1314</v>
      </c>
      <c r="AF341" s="2345"/>
      <c r="AG341" s="2345"/>
      <c r="AH341" s="2345"/>
      <c r="AI341" s="2345"/>
      <c r="AJ341" s="2345"/>
      <c r="AK341" s="234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4" t="s">
        <v>1454</v>
      </c>
      <c r="D343" s="2454"/>
      <c r="E343" s="2454"/>
      <c r="F343" s="2454"/>
      <c r="G343" s="2454"/>
      <c r="H343" s="2454"/>
      <c r="I343" s="2454"/>
      <c r="J343" s="2454"/>
      <c r="K343" s="2454"/>
      <c r="L343" s="2454"/>
      <c r="M343" s="2454"/>
      <c r="N343" s="2454"/>
      <c r="O343" s="2454"/>
      <c r="P343" s="2454"/>
      <c r="Q343" s="2454"/>
      <c r="R343" s="2454"/>
      <c r="S343" s="2454"/>
      <c r="T343" s="2454"/>
      <c r="U343" s="2454"/>
      <c r="V343" s="2454"/>
      <c r="W343" s="2454"/>
      <c r="X343" s="2454"/>
      <c r="Y343" s="2454"/>
      <c r="Z343" s="2454"/>
      <c r="AA343" s="2454"/>
      <c r="AB343" s="2454"/>
      <c r="AC343" s="2454"/>
      <c r="AD343" s="2454"/>
      <c r="AE343" s="2454"/>
      <c r="AF343" s="2454"/>
      <c r="AG343" s="2454"/>
      <c r="AH343" s="2454"/>
      <c r="AI343" s="2454"/>
      <c r="AJ343" s="2454"/>
      <c r="AK343" s="604"/>
      <c r="AL343" s="604"/>
      <c r="AM343" s="604"/>
      <c r="AN343" s="598"/>
    </row>
    <row r="344" spans="1:44" s="551" customFormat="1" ht="12.75" customHeight="1">
      <c r="A344" s="604"/>
      <c r="B344" s="612"/>
      <c r="C344" s="2454"/>
      <c r="D344" s="2454"/>
      <c r="E344" s="2454"/>
      <c r="F344" s="2454"/>
      <c r="G344" s="2454"/>
      <c r="H344" s="24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4"/>
      <c r="AE344" s="2454"/>
      <c r="AF344" s="2454"/>
      <c r="AG344" s="2454"/>
      <c r="AH344" s="2454"/>
      <c r="AI344" s="2454"/>
      <c r="AJ344" s="2454"/>
      <c r="AK344" s="604"/>
      <c r="AL344" s="604"/>
      <c r="AM344" s="604"/>
      <c r="AN344" s="598"/>
    </row>
    <row r="345" spans="1:44" s="551" customFormat="1" ht="12.75" customHeight="1">
      <c r="A345" s="604"/>
      <c r="B345" s="612"/>
      <c r="C345" s="2454"/>
      <c r="D345" s="2454"/>
      <c r="E345" s="2454"/>
      <c r="F345" s="2454"/>
      <c r="G345" s="2454"/>
      <c r="H345" s="2454"/>
      <c r="I345" s="2454"/>
      <c r="J345" s="2454"/>
      <c r="K345" s="2454"/>
      <c r="L345" s="2454"/>
      <c r="M345" s="2454"/>
      <c r="N345" s="2454"/>
      <c r="O345" s="2454"/>
      <c r="P345" s="2454"/>
      <c r="Q345" s="2454"/>
      <c r="R345" s="2454"/>
      <c r="S345" s="2454"/>
      <c r="T345" s="2454"/>
      <c r="U345" s="2454"/>
      <c r="V345" s="2454"/>
      <c r="W345" s="2454"/>
      <c r="X345" s="2454"/>
      <c r="Y345" s="2454"/>
      <c r="Z345" s="2454"/>
      <c r="AA345" s="2454"/>
      <c r="AB345" s="2454"/>
      <c r="AC345" s="2454"/>
      <c r="AD345" s="2454"/>
      <c r="AE345" s="2454"/>
      <c r="AF345" s="2454"/>
      <c r="AG345" s="2454"/>
      <c r="AH345" s="2454"/>
      <c r="AI345" s="2454"/>
      <c r="AJ345" s="2454"/>
      <c r="AK345" s="604"/>
      <c r="AL345" s="604"/>
      <c r="AM345" s="604"/>
      <c r="AN345" s="598"/>
      <c r="AQ345" s="571"/>
    </row>
    <row r="346" spans="1:44" s="551" customFormat="1" ht="12.75" customHeight="1">
      <c r="A346" s="604"/>
      <c r="B346" s="612"/>
      <c r="C346" s="2454"/>
      <c r="D346" s="2454"/>
      <c r="E346" s="2454"/>
      <c r="F346" s="2454"/>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4"/>
      <c r="AE346" s="2454"/>
      <c r="AF346" s="2454"/>
      <c r="AG346" s="2454"/>
      <c r="AH346" s="2454"/>
      <c r="AI346" s="2454"/>
      <c r="AJ346" s="2454"/>
      <c r="AK346" s="604"/>
      <c r="AL346" s="604"/>
      <c r="AM346" s="604"/>
      <c r="AN346" s="598"/>
      <c r="AQ346" s="571"/>
    </row>
    <row r="347" spans="1:44" s="551" customFormat="1" ht="12.45" customHeight="1">
      <c r="A347" s="604"/>
      <c r="B347" s="612"/>
      <c r="C347" s="2454"/>
      <c r="D347" s="2454"/>
      <c r="E347" s="2454"/>
      <c r="F347" s="2454"/>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4"/>
      <c r="AE347" s="2454"/>
      <c r="AF347" s="2454"/>
      <c r="AG347" s="2454"/>
      <c r="AH347" s="2454"/>
      <c r="AI347" s="2454"/>
      <c r="AJ347" s="2454"/>
      <c r="AK347" s="604"/>
      <c r="AL347" s="604"/>
      <c r="AM347" s="604"/>
      <c r="AN347" s="598"/>
      <c r="AQ347" s="571"/>
      <c r="AR347" s="571"/>
    </row>
    <row r="348" spans="1:44" s="551" customFormat="1" ht="45.75" customHeight="1">
      <c r="A348" s="604"/>
      <c r="B348" s="612"/>
      <c r="C348" s="2454" t="s">
        <v>2094</v>
      </c>
      <c r="D348" s="2454"/>
      <c r="E348" s="2454"/>
      <c r="F348" s="2454"/>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4"/>
      <c r="AE348" s="2454"/>
      <c r="AF348" s="2454"/>
      <c r="AG348" s="2454"/>
      <c r="AH348" s="2454"/>
      <c r="AI348" s="2454"/>
      <c r="AJ348" s="2454"/>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4" t="s">
        <v>2209</v>
      </c>
      <c r="D350" s="2454"/>
      <c r="E350" s="2454"/>
      <c r="F350" s="2454"/>
      <c r="G350" s="2454"/>
      <c r="H350" s="2454"/>
      <c r="I350" s="2454"/>
      <c r="J350" s="2454"/>
      <c r="K350" s="2454"/>
      <c r="L350" s="2454"/>
      <c r="M350" s="2454"/>
      <c r="N350" s="2454"/>
      <c r="O350" s="2454"/>
      <c r="P350" s="2454"/>
      <c r="Q350" s="2454"/>
      <c r="R350" s="2454"/>
      <c r="S350" s="2454"/>
      <c r="T350" s="2454"/>
      <c r="U350" s="2454"/>
      <c r="V350" s="2454"/>
      <c r="W350" s="2454"/>
      <c r="X350" s="2454"/>
      <c r="Y350" s="2454"/>
      <c r="Z350" s="2454"/>
      <c r="AA350" s="2454"/>
      <c r="AB350" s="2454"/>
      <c r="AC350" s="2454"/>
      <c r="AD350" s="2454"/>
      <c r="AE350" s="2454"/>
      <c r="AF350" s="2454"/>
      <c r="AG350" s="2454"/>
      <c r="AH350" s="2454"/>
      <c r="AI350" s="2454"/>
      <c r="AJ350" s="2454"/>
      <c r="AK350" s="604"/>
      <c r="AL350" s="604"/>
      <c r="AM350" s="604"/>
      <c r="AN350" s="598"/>
      <c r="AQ350" s="571"/>
      <c r="AR350" s="571"/>
    </row>
    <row r="351" spans="1:44" s="551" customFormat="1" ht="30" customHeight="1">
      <c r="A351" s="604"/>
      <c r="B351" s="612"/>
      <c r="C351" s="2454"/>
      <c r="D351" s="2454"/>
      <c r="E351" s="2454"/>
      <c r="F351" s="2454"/>
      <c r="G351" s="2454"/>
      <c r="H351" s="2454"/>
      <c r="I351" s="2454"/>
      <c r="J351" s="2454"/>
      <c r="K351" s="2454"/>
      <c r="L351" s="2454"/>
      <c r="M351" s="2454"/>
      <c r="N351" s="2454"/>
      <c r="O351" s="2454"/>
      <c r="P351" s="2454"/>
      <c r="Q351" s="2454"/>
      <c r="R351" s="2454"/>
      <c r="S351" s="2454"/>
      <c r="T351" s="2454"/>
      <c r="U351" s="2454"/>
      <c r="V351" s="2454"/>
      <c r="W351" s="2454"/>
      <c r="X351" s="2454"/>
      <c r="Y351" s="2454"/>
      <c r="Z351" s="2454"/>
      <c r="AA351" s="2454"/>
      <c r="AB351" s="2454"/>
      <c r="AC351" s="2454"/>
      <c r="AD351" s="2454"/>
      <c r="AE351" s="2454"/>
      <c r="AF351" s="2454"/>
      <c r="AG351" s="2454"/>
      <c r="AH351" s="2454"/>
      <c r="AI351" s="2454"/>
      <c r="AJ351" s="2454"/>
      <c r="AK351" s="604"/>
      <c r="AL351" s="604"/>
      <c r="AM351" s="604"/>
      <c r="AN351" s="598"/>
      <c r="AR351" s="571"/>
    </row>
    <row r="352" spans="1:44" s="551" customFormat="1" ht="12.75" customHeight="1">
      <c r="A352" s="604"/>
      <c r="B352" s="612"/>
      <c r="C352" s="2454"/>
      <c r="D352" s="2454"/>
      <c r="E352" s="2454"/>
      <c r="F352" s="2454"/>
      <c r="G352" s="2454"/>
      <c r="H352" s="2454"/>
      <c r="I352" s="2454"/>
      <c r="J352" s="2454"/>
      <c r="K352" s="2454"/>
      <c r="L352" s="2454"/>
      <c r="M352" s="2454"/>
      <c r="N352" s="2454"/>
      <c r="O352" s="2454"/>
      <c r="P352" s="2454"/>
      <c r="Q352" s="2454"/>
      <c r="R352" s="2454"/>
      <c r="S352" s="2454"/>
      <c r="T352" s="2454"/>
      <c r="U352" s="2454"/>
      <c r="V352" s="2454"/>
      <c r="W352" s="2454"/>
      <c r="X352" s="2454"/>
      <c r="Y352" s="2454"/>
      <c r="Z352" s="2454"/>
      <c r="AA352" s="2454"/>
      <c r="AB352" s="2454"/>
      <c r="AC352" s="2454"/>
      <c r="AD352" s="2454"/>
      <c r="AE352" s="2454"/>
      <c r="AF352" s="2454"/>
      <c r="AG352" s="2454"/>
      <c r="AH352" s="2454"/>
      <c r="AI352" s="2454"/>
      <c r="AJ352" s="2454"/>
      <c r="AK352" s="604"/>
      <c r="AL352" s="604"/>
      <c r="AM352" s="604"/>
      <c r="AN352" s="598"/>
      <c r="AR352" s="571"/>
    </row>
    <row r="353" spans="1:46" s="551" customFormat="1" ht="12.75" customHeight="1">
      <c r="A353" s="604"/>
      <c r="B353" s="612"/>
      <c r="C353" s="2454" t="s">
        <v>1455</v>
      </c>
      <c r="D353" s="2454"/>
      <c r="E353" s="2454"/>
      <c r="F353" s="2454"/>
      <c r="G353" s="2454"/>
      <c r="H353" s="2454"/>
      <c r="I353" s="2454"/>
      <c r="J353" s="2454"/>
      <c r="K353" s="2454"/>
      <c r="L353" s="2454"/>
      <c r="M353" s="2454"/>
      <c r="N353" s="2454"/>
      <c r="O353" s="2454"/>
      <c r="P353" s="2454"/>
      <c r="Q353" s="2454"/>
      <c r="R353" s="2454"/>
      <c r="S353" s="2454"/>
      <c r="T353" s="2454"/>
      <c r="U353" s="2454"/>
      <c r="V353" s="2454"/>
      <c r="W353" s="2454"/>
      <c r="X353" s="2454"/>
      <c r="Y353" s="2454"/>
      <c r="Z353" s="2454"/>
      <c r="AA353" s="2454"/>
      <c r="AB353" s="2454"/>
      <c r="AC353" s="2454"/>
      <c r="AD353" s="2454"/>
      <c r="AE353" s="2454"/>
      <c r="AF353" s="2454"/>
      <c r="AG353" s="2454"/>
      <c r="AH353" s="2454"/>
      <c r="AI353" s="2454"/>
      <c r="AJ353" s="2454"/>
      <c r="AK353" s="604"/>
      <c r="AL353" s="604"/>
      <c r="AM353" s="604"/>
      <c r="AN353" s="598"/>
      <c r="AQ353" s="571"/>
      <c r="AR353" s="571"/>
    </row>
    <row r="354" spans="1:46" s="551" customFormat="1" ht="12.75" customHeight="1">
      <c r="A354" s="604"/>
      <c r="B354" s="612"/>
      <c r="C354" s="2454"/>
      <c r="D354" s="2454"/>
      <c r="E354" s="2454"/>
      <c r="F354" s="2454"/>
      <c r="G354" s="2454"/>
      <c r="H354" s="2454"/>
      <c r="I354" s="2454"/>
      <c r="J354" s="2454"/>
      <c r="K354" s="2454"/>
      <c r="L354" s="2454"/>
      <c r="M354" s="2454"/>
      <c r="N354" s="2454"/>
      <c r="O354" s="2454"/>
      <c r="P354" s="2454"/>
      <c r="Q354" s="2454"/>
      <c r="R354" s="2454"/>
      <c r="S354" s="2454"/>
      <c r="T354" s="2454"/>
      <c r="U354" s="2454"/>
      <c r="V354" s="2454"/>
      <c r="W354" s="2454"/>
      <c r="X354" s="2454"/>
      <c r="Y354" s="2454"/>
      <c r="Z354" s="2454"/>
      <c r="AA354" s="2454"/>
      <c r="AB354" s="2454"/>
      <c r="AC354" s="2454"/>
      <c r="AD354" s="2454"/>
      <c r="AE354" s="2454"/>
      <c r="AF354" s="2454"/>
      <c r="AG354" s="2454"/>
      <c r="AH354" s="2454"/>
      <c r="AI354" s="2454"/>
      <c r="AJ354" s="2454"/>
      <c r="AK354" s="604"/>
      <c r="AL354" s="604"/>
      <c r="AM354" s="604"/>
      <c r="AN354" s="598"/>
      <c r="AQ354" s="571"/>
      <c r="AR354" s="571"/>
    </row>
    <row r="355" spans="1:46" s="551" customFormat="1" ht="13.2" customHeight="1">
      <c r="A355" s="604"/>
      <c r="B355" s="612"/>
      <c r="C355" s="2454"/>
      <c r="D355" s="2454"/>
      <c r="E355" s="2454"/>
      <c r="F355" s="2454"/>
      <c r="G355" s="2454"/>
      <c r="H355" s="2454"/>
      <c r="I355" s="2454"/>
      <c r="J355" s="2454"/>
      <c r="K355" s="2454"/>
      <c r="L355" s="2454"/>
      <c r="M355" s="2454"/>
      <c r="N355" s="2454"/>
      <c r="O355" s="2454"/>
      <c r="P355" s="2454"/>
      <c r="Q355" s="2454"/>
      <c r="R355" s="2454"/>
      <c r="S355" s="2454"/>
      <c r="T355" s="2454"/>
      <c r="U355" s="2454"/>
      <c r="V355" s="2454"/>
      <c r="W355" s="2454"/>
      <c r="X355" s="2454"/>
      <c r="Y355" s="2454"/>
      <c r="Z355" s="2454"/>
      <c r="AA355" s="2454"/>
      <c r="AB355" s="2454"/>
      <c r="AC355" s="2454"/>
      <c r="AD355" s="2454"/>
      <c r="AE355" s="2454"/>
      <c r="AF355" s="2454"/>
      <c r="AG355" s="2454"/>
      <c r="AH355" s="2454"/>
      <c r="AI355" s="2454"/>
      <c r="AJ355" s="2454"/>
      <c r="AK355" s="604"/>
      <c r="AL355" s="604"/>
      <c r="AM355" s="604"/>
      <c r="AN355" s="598"/>
      <c r="AQ355" s="571"/>
      <c r="AR355" s="571"/>
    </row>
    <row r="356" spans="1:46" s="551" customFormat="1" ht="12.75" customHeight="1">
      <c r="A356" s="604"/>
      <c r="B356" s="612"/>
      <c r="C356" s="2454"/>
      <c r="D356" s="2454"/>
      <c r="E356" s="2454"/>
      <c r="F356" s="2454"/>
      <c r="G356" s="2454"/>
      <c r="H356" s="2454"/>
      <c r="I356" s="2454"/>
      <c r="J356" s="2454"/>
      <c r="K356" s="2454"/>
      <c r="L356" s="2454"/>
      <c r="M356" s="2454"/>
      <c r="N356" s="2454"/>
      <c r="O356" s="2454"/>
      <c r="P356" s="2454"/>
      <c r="Q356" s="2454"/>
      <c r="R356" s="2454"/>
      <c r="S356" s="2454"/>
      <c r="T356" s="2454"/>
      <c r="U356" s="2454"/>
      <c r="V356" s="2454"/>
      <c r="W356" s="2454"/>
      <c r="X356" s="2454"/>
      <c r="Y356" s="2454"/>
      <c r="Z356" s="2454"/>
      <c r="AA356" s="2454"/>
      <c r="AB356" s="2454"/>
      <c r="AC356" s="2454"/>
      <c r="AD356" s="2454"/>
      <c r="AE356" s="2454"/>
      <c r="AF356" s="2454"/>
      <c r="AG356" s="2454"/>
      <c r="AH356" s="2454"/>
      <c r="AI356" s="2454"/>
      <c r="AJ356" s="2454"/>
      <c r="AK356" s="604"/>
      <c r="AL356" s="604"/>
      <c r="AM356" s="604"/>
      <c r="AN356" s="598"/>
      <c r="AO356" s="695"/>
      <c r="AP356" s="695"/>
      <c r="AQ356" s="571"/>
    </row>
    <row r="357" spans="1:46" s="551" customFormat="1" ht="11.7" customHeight="1">
      <c r="A357" s="604"/>
      <c r="B357" s="612"/>
      <c r="C357" s="2454"/>
      <c r="D357" s="2454"/>
      <c r="E357" s="2454"/>
      <c r="F357" s="2454"/>
      <c r="G357" s="2454"/>
      <c r="H357" s="2454"/>
      <c r="I357" s="2454"/>
      <c r="J357" s="2454"/>
      <c r="K357" s="2454"/>
      <c r="L357" s="2454"/>
      <c r="M357" s="2454"/>
      <c r="N357" s="2454"/>
      <c r="O357" s="2454"/>
      <c r="P357" s="2454"/>
      <c r="Q357" s="2454"/>
      <c r="R357" s="2454"/>
      <c r="S357" s="2454"/>
      <c r="T357" s="2454"/>
      <c r="U357" s="2454"/>
      <c r="V357" s="2454"/>
      <c r="W357" s="2454"/>
      <c r="X357" s="2454"/>
      <c r="Y357" s="2454"/>
      <c r="Z357" s="2454"/>
      <c r="AA357" s="2454"/>
      <c r="AB357" s="2454"/>
      <c r="AC357" s="2454"/>
      <c r="AD357" s="2454"/>
      <c r="AE357" s="2454"/>
      <c r="AF357" s="2454"/>
      <c r="AG357" s="2454"/>
      <c r="AH357" s="2454"/>
      <c r="AI357" s="2454"/>
      <c r="AJ357" s="2454"/>
      <c r="AK357" s="604"/>
      <c r="AL357" s="604"/>
      <c r="AM357" s="604"/>
      <c r="AN357" s="598"/>
      <c r="AO357" s="696" t="s">
        <v>112</v>
      </c>
      <c r="AP357" s="697">
        <f>IF(C381="Yes",5,0)</f>
        <v>0</v>
      </c>
      <c r="AS357" s="540" t="s">
        <v>1456</v>
      </c>
    </row>
    <row r="358" spans="1:46" s="551" customFormat="1" ht="12.75" customHeight="1">
      <c r="A358" s="604"/>
      <c r="B358" s="612"/>
      <c r="C358" s="2454"/>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04"/>
      <c r="AL358" s="604"/>
      <c r="AM358" s="604"/>
      <c r="AN358" s="598"/>
      <c r="AO358" s="696" t="s">
        <v>113</v>
      </c>
      <c r="AP358" s="697">
        <f>IF(C389="Yes",5,0)</f>
        <v>0</v>
      </c>
      <c r="AS358" s="2475">
        <f>IF(Application!D211="Non-Targeted",(SUM(AQ366+AQ375)),AS362)</f>
        <v>10</v>
      </c>
      <c r="AT358" s="2475"/>
    </row>
    <row r="359" spans="1:46" s="551" customFormat="1" ht="12.75" customHeight="1">
      <c r="A359" s="604"/>
      <c r="B359" s="612"/>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04"/>
      <c r="AL359" s="604"/>
      <c r="AM359" s="604"/>
      <c r="AN359" s="598"/>
      <c r="AO359" s="696" t="s">
        <v>119</v>
      </c>
      <c r="AP359" s="697">
        <f>IF(C397="Yes",7,0)</f>
        <v>7</v>
      </c>
      <c r="AS359" s="540" t="s">
        <v>1457</v>
      </c>
    </row>
    <row r="360" spans="1:46" s="551" customFormat="1" ht="12.75" customHeight="1">
      <c r="A360" s="604"/>
      <c r="B360" s="612"/>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04"/>
      <c r="AL360" s="604"/>
      <c r="AM360" s="604"/>
      <c r="AN360" s="598"/>
      <c r="AO360" s="598"/>
      <c r="AP360" s="697">
        <f>IF(C399="Yes",5,0)</f>
        <v>0</v>
      </c>
      <c r="AS360" s="2475">
        <f>IF(AND(AQ366&gt;0,AQ375&gt;0),(AQ366+AQ375)/2,0)</f>
        <v>0</v>
      </c>
      <c r="AT360" s="2475"/>
    </row>
    <row r="361" spans="1:46" s="551" customFormat="1" ht="12.75" customHeight="1">
      <c r="A361" s="604"/>
      <c r="B361" s="612"/>
      <c r="C361" s="2454"/>
      <c r="D361" s="2454"/>
      <c r="E361" s="2454"/>
      <c r="F361" s="2454"/>
      <c r="G361" s="2454"/>
      <c r="H361" s="2454"/>
      <c r="I361" s="2454"/>
      <c r="J361" s="2454"/>
      <c r="K361" s="2454"/>
      <c r="L361" s="2454"/>
      <c r="M361" s="2454"/>
      <c r="N361" s="2454"/>
      <c r="O361" s="2454"/>
      <c r="P361" s="2454"/>
      <c r="Q361" s="2454"/>
      <c r="R361" s="2454"/>
      <c r="S361" s="2454"/>
      <c r="T361" s="2454"/>
      <c r="U361" s="2454"/>
      <c r="V361" s="2454"/>
      <c r="W361" s="2454"/>
      <c r="X361" s="2454"/>
      <c r="Y361" s="2454"/>
      <c r="Z361" s="2454"/>
      <c r="AA361" s="2454"/>
      <c r="AB361" s="2454"/>
      <c r="AC361" s="2454"/>
      <c r="AD361" s="2454"/>
      <c r="AE361" s="2454"/>
      <c r="AF361" s="2454"/>
      <c r="AG361" s="2454"/>
      <c r="AH361" s="2454"/>
      <c r="AI361" s="2454"/>
      <c r="AJ361" s="2454"/>
      <c r="AK361" s="604"/>
      <c r="AL361" s="604"/>
      <c r="AM361" s="604"/>
      <c r="AN361" s="598"/>
      <c r="AO361" s="696" t="s">
        <v>581</v>
      </c>
      <c r="AP361" s="697">
        <f>IF(C407="Yes",5,0)</f>
        <v>0</v>
      </c>
      <c r="AS361" s="540" t="s">
        <v>1879</v>
      </c>
    </row>
    <row r="362" spans="1:46" s="551" customFormat="1" ht="12.75" customHeight="1">
      <c r="A362" s="604"/>
      <c r="B362" s="612"/>
      <c r="C362" s="2476" t="s">
        <v>2235</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4"/>
      <c r="AL362" s="604"/>
      <c r="AM362" s="604"/>
      <c r="AN362" s="598"/>
      <c r="AO362" s="598"/>
      <c r="AP362" s="697">
        <f>IF(C409="Yes",3,0)</f>
        <v>3</v>
      </c>
      <c r="AS362" s="2475">
        <f>IF(AQ366=0,AQ375,AQ366)</f>
        <v>10</v>
      </c>
      <c r="AT362" s="2475"/>
    </row>
    <row r="363" spans="1:46" s="551" customFormat="1" ht="12.75" customHeight="1">
      <c r="A363" s="604"/>
      <c r="B363" s="612"/>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4"/>
      <c r="AL363" s="604"/>
      <c r="AM363" s="604"/>
      <c r="AN363" s="598"/>
      <c r="AO363" s="696" t="s">
        <v>763</v>
      </c>
      <c r="AP363" s="697">
        <f>IF(C412="Yes",5,0)</f>
        <v>0</v>
      </c>
    </row>
    <row r="364" spans="1:46" s="551" customFormat="1" ht="12.75" customHeight="1">
      <c r="A364" s="604"/>
      <c r="B364" s="612"/>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4"/>
      <c r="AL364" s="604"/>
      <c r="AM364" s="604"/>
      <c r="AN364" s="598"/>
      <c r="AO364" s="696" t="s">
        <v>584</v>
      </c>
      <c r="AP364" s="697">
        <f>IF(C421="Yes",5,0)</f>
        <v>0</v>
      </c>
    </row>
    <row r="365" spans="1:46" s="551" customFormat="1" ht="11.7" customHeight="1">
      <c r="A365" s="604"/>
      <c r="B365" s="612"/>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4"/>
      <c r="AL365" s="604"/>
      <c r="AM365" s="604"/>
      <c r="AN365" s="598"/>
      <c r="AO365" s="698"/>
      <c r="AP365" s="699">
        <f>IF(C423="Yes",3,0)</f>
        <v>0</v>
      </c>
    </row>
    <row r="366" spans="1:46" s="551" customFormat="1" ht="12.45" customHeight="1">
      <c r="A366" s="604"/>
      <c r="B366" s="612"/>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4"/>
      <c r="AL366" s="604"/>
      <c r="AM366" s="604"/>
      <c r="AN366" s="598"/>
      <c r="AO366" s="700" t="s">
        <v>226</v>
      </c>
      <c r="AP366" s="701">
        <f>SUM(AP357:AP365)</f>
        <v>10</v>
      </c>
      <c r="AQ366" s="2477">
        <f>IF(AP366&gt;0,AP366,0)</f>
        <v>10</v>
      </c>
      <c r="AR366" s="2477"/>
    </row>
    <row r="367" spans="1:46" s="551" customFormat="1" ht="12.75" customHeight="1">
      <c r="A367" s="604"/>
      <c r="B367" s="612"/>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4" t="s">
        <v>1458</v>
      </c>
      <c r="D369" s="2454"/>
      <c r="E369" s="2454"/>
      <c r="F369" s="2454"/>
      <c r="G369" s="2454"/>
      <c r="H369" s="2454"/>
      <c r="I369" s="2454"/>
      <c r="J369" s="2454"/>
      <c r="K369" s="2454"/>
      <c r="L369" s="2454"/>
      <c r="M369" s="2454"/>
      <c r="N369" s="2454"/>
      <c r="O369" s="2454"/>
      <c r="P369" s="2454"/>
      <c r="Q369" s="2454"/>
      <c r="R369" s="2454"/>
      <c r="S369" s="2454"/>
      <c r="T369" s="2454"/>
      <c r="U369" s="2454"/>
      <c r="V369" s="2454"/>
      <c r="W369" s="2454"/>
      <c r="X369" s="2454"/>
      <c r="Y369" s="2454"/>
      <c r="Z369" s="2454"/>
      <c r="AA369" s="2454"/>
      <c r="AB369" s="2454"/>
      <c r="AC369" s="2454"/>
      <c r="AD369" s="2454"/>
      <c r="AE369" s="2454"/>
      <c r="AF369" s="2454"/>
      <c r="AG369" s="2454"/>
      <c r="AH369" s="2454"/>
      <c r="AI369" s="2454"/>
      <c r="AJ369" s="2454"/>
      <c r="AK369" s="604"/>
      <c r="AL369" s="604"/>
      <c r="AM369" s="604"/>
      <c r="AN369" s="598"/>
      <c r="AO369" s="696" t="s">
        <v>456</v>
      </c>
      <c r="AP369" s="697">
        <f>IF(C442="Yes",5,0)</f>
        <v>0</v>
      </c>
    </row>
    <row r="370" spans="1:81" s="551" customFormat="1" ht="12.75" customHeight="1">
      <c r="A370" s="604"/>
      <c r="B370" s="612"/>
      <c r="C370" s="2454"/>
      <c r="D370" s="2454"/>
      <c r="E370" s="2454"/>
      <c r="F370" s="2454"/>
      <c r="G370" s="2454"/>
      <c r="H370" s="2454"/>
      <c r="I370" s="2454"/>
      <c r="J370" s="2454"/>
      <c r="K370" s="2454"/>
      <c r="L370" s="2454"/>
      <c r="M370" s="2454"/>
      <c r="N370" s="2454"/>
      <c r="O370" s="2454"/>
      <c r="P370" s="2454"/>
      <c r="Q370" s="2454"/>
      <c r="R370" s="2454"/>
      <c r="S370" s="2454"/>
      <c r="T370" s="2454"/>
      <c r="U370" s="2454"/>
      <c r="V370" s="2454"/>
      <c r="W370" s="2454"/>
      <c r="X370" s="2454"/>
      <c r="Y370" s="2454"/>
      <c r="Z370" s="2454"/>
      <c r="AA370" s="2454"/>
      <c r="AB370" s="2454"/>
      <c r="AC370" s="2454"/>
      <c r="AD370" s="2454"/>
      <c r="AE370" s="2454"/>
      <c r="AF370" s="2454"/>
      <c r="AG370" s="2454"/>
      <c r="AH370" s="2454"/>
      <c r="AI370" s="2454"/>
      <c r="AJ370" s="2454"/>
      <c r="AK370" s="604"/>
      <c r="AL370" s="604"/>
      <c r="AM370" s="604"/>
      <c r="AN370" s="598"/>
      <c r="AO370" s="696" t="s">
        <v>461</v>
      </c>
      <c r="AP370" s="697">
        <f>IF(C449="Yes",5,0)</f>
        <v>0</v>
      </c>
    </row>
    <row r="371" spans="1:81" s="551" customFormat="1" ht="67.95" customHeight="1">
      <c r="A371" s="604"/>
      <c r="B371" s="612"/>
      <c r="C371" s="2454"/>
      <c r="D371" s="2454"/>
      <c r="E371" s="2454"/>
      <c r="F371" s="2454"/>
      <c r="G371" s="2454"/>
      <c r="H371" s="2454"/>
      <c r="I371" s="2454"/>
      <c r="J371" s="2454"/>
      <c r="K371" s="2454"/>
      <c r="L371" s="2454"/>
      <c r="M371" s="2454"/>
      <c r="N371" s="2454"/>
      <c r="O371" s="2454"/>
      <c r="P371" s="2454"/>
      <c r="Q371" s="2454"/>
      <c r="R371" s="2454"/>
      <c r="S371" s="2454"/>
      <c r="T371" s="2454"/>
      <c r="U371" s="2454"/>
      <c r="V371" s="2454"/>
      <c r="W371" s="2454"/>
      <c r="X371" s="2454"/>
      <c r="Y371" s="2454"/>
      <c r="Z371" s="2454"/>
      <c r="AA371" s="2454"/>
      <c r="AB371" s="2454"/>
      <c r="AC371" s="2454"/>
      <c r="AD371" s="2454"/>
      <c r="AE371" s="2454"/>
      <c r="AF371" s="2454"/>
      <c r="AG371" s="2454"/>
      <c r="AH371" s="2454"/>
      <c r="AI371" s="2454"/>
      <c r="AJ371" s="2454"/>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2">
        <f>Application!DU802-U374</f>
        <v>202</v>
      </c>
      <c r="V373" s="2562"/>
      <c r="W373" s="2562"/>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3">
        <f>IF(Application!D211="SRO",Application!DU755,Application!AG756)</f>
        <v>0</v>
      </c>
      <c r="V374" s="2563"/>
      <c r="W374" s="256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7">
        <f>IF(AP375&gt;0,AP375,0)</f>
        <v>0</v>
      </c>
      <c r="AR375" s="247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8" t="s">
        <v>1460</v>
      </c>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5" t="s">
        <v>591</v>
      </c>
      <c r="D381" s="241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6" t="s">
        <v>1462</v>
      </c>
      <c r="AG381" s="2456"/>
      <c r="AH381" s="2456"/>
      <c r="AI381" s="2456"/>
      <c r="AJ381" s="2456"/>
      <c r="AK381" s="2456"/>
      <c r="AL381" s="245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8" t="s">
        <v>1463</v>
      </c>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9"/>
      <c r="G386" s="2459"/>
      <c r="H386" s="2459"/>
      <c r="I386" s="2459"/>
      <c r="J386" s="2459"/>
      <c r="K386" s="2459"/>
      <c r="L386" s="2459"/>
      <c r="M386" s="2459"/>
      <c r="N386" s="2459"/>
      <c r="O386" s="2459"/>
      <c r="P386" s="2459"/>
      <c r="Q386" s="2459"/>
      <c r="R386" s="2459"/>
      <c r="S386" s="2459"/>
      <c r="T386" s="2459"/>
      <c r="U386" s="2459"/>
      <c r="V386" s="2459"/>
      <c r="W386" s="2459"/>
      <c r="X386" s="2459"/>
      <c r="Y386" s="2459"/>
      <c r="Z386" s="2459"/>
      <c r="AA386" s="2459"/>
      <c r="AB386" s="2459"/>
      <c r="AC386" s="2459"/>
      <c r="AD386" s="2459"/>
      <c r="AE386" s="2459"/>
      <c r="AF386" s="245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9"/>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9"/>
      <c r="G388" s="2459"/>
      <c r="H388" s="2459"/>
      <c r="I388" s="2459"/>
      <c r="J388" s="2459"/>
      <c r="K388" s="2459"/>
      <c r="L388" s="2459"/>
      <c r="M388" s="2459"/>
      <c r="N388" s="2459"/>
      <c r="O388" s="2459"/>
      <c r="P388" s="2459"/>
      <c r="Q388" s="2459"/>
      <c r="R388" s="2459"/>
      <c r="S388" s="2459"/>
      <c r="T388" s="2459"/>
      <c r="U388" s="2459"/>
      <c r="V388" s="2459"/>
      <c r="W388" s="2459"/>
      <c r="X388" s="2459"/>
      <c r="Y388" s="2459"/>
      <c r="Z388" s="2459"/>
      <c r="AA388" s="2459"/>
      <c r="AB388" s="2459"/>
      <c r="AC388" s="2459"/>
      <c r="AD388" s="2459"/>
      <c r="AE388" s="2459"/>
      <c r="AF388" s="2459"/>
      <c r="AL388" s="733"/>
      <c r="AN388" s="598"/>
      <c r="BS388" s="30"/>
      <c r="BT388" s="30"/>
      <c r="BU388" s="14"/>
      <c r="BV388" s="14"/>
      <c r="BW388" s="14"/>
      <c r="BX388" s="14"/>
      <c r="BY388" s="14"/>
      <c r="BZ388" s="14"/>
      <c r="CA388" s="14"/>
      <c r="CB388" s="14"/>
      <c r="CC388" s="14"/>
    </row>
    <row r="389" spans="1:81" s="551" customFormat="1" ht="12.75" customHeight="1">
      <c r="A389" s="537"/>
      <c r="B389" s="14"/>
      <c r="C389" s="2455" t="s">
        <v>591</v>
      </c>
      <c r="D389" s="241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6" t="s">
        <v>1462</v>
      </c>
      <c r="AG389" s="2456"/>
      <c r="AH389" s="2456"/>
      <c r="AI389" s="2456"/>
      <c r="AJ389" s="2456"/>
      <c r="AK389" s="2456"/>
      <c r="AL389" s="245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8" t="s">
        <v>1465</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9"/>
      <c r="G396" s="2459"/>
      <c r="H396" s="2459"/>
      <c r="I396" s="2459"/>
      <c r="J396" s="2459"/>
      <c r="K396" s="2459"/>
      <c r="L396" s="2459"/>
      <c r="M396" s="2459"/>
      <c r="N396" s="2459"/>
      <c r="O396" s="2459"/>
      <c r="P396" s="2459"/>
      <c r="Q396" s="2459"/>
      <c r="R396" s="2459"/>
      <c r="S396" s="2459"/>
      <c r="T396" s="2459"/>
      <c r="U396" s="2459"/>
      <c r="V396" s="2459"/>
      <c r="W396" s="2459"/>
      <c r="X396" s="2459"/>
      <c r="Y396" s="2459"/>
      <c r="Z396" s="2459"/>
      <c r="AA396" s="2459"/>
      <c r="AB396" s="2459"/>
      <c r="AC396" s="2459"/>
      <c r="AD396" s="2459"/>
      <c r="AE396" s="2459"/>
      <c r="AF396" s="245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5" t="s">
        <v>545</v>
      </c>
      <c r="D397" s="241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6" t="s">
        <v>1467</v>
      </c>
      <c r="AG397" s="2456"/>
      <c r="AH397" s="2456"/>
      <c r="AI397" s="2456"/>
      <c r="AJ397" s="2456"/>
      <c r="AK397" s="2456"/>
      <c r="AL397" s="245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5" t="s">
        <v>591</v>
      </c>
      <c r="D399" s="241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6" t="s">
        <v>1462</v>
      </c>
      <c r="AG399" s="2456"/>
      <c r="AH399" s="2456"/>
      <c r="AI399" s="2456"/>
      <c r="AJ399" s="2456"/>
      <c r="AK399" s="2456"/>
      <c r="AL399" s="245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8" t="s">
        <v>1471</v>
      </c>
      <c r="G403" s="2458"/>
      <c r="H403" s="2458"/>
      <c r="I403" s="2458"/>
      <c r="J403" s="2458"/>
      <c r="K403" s="2458"/>
      <c r="L403" s="2458"/>
      <c r="M403" s="2458"/>
      <c r="N403" s="2458"/>
      <c r="O403" s="2458"/>
      <c r="P403" s="2458"/>
      <c r="Q403" s="2458"/>
      <c r="R403" s="2458"/>
      <c r="S403" s="2458"/>
      <c r="T403" s="2458"/>
      <c r="U403" s="2458"/>
      <c r="V403" s="2458"/>
      <c r="W403" s="2458"/>
      <c r="X403" s="2458"/>
      <c r="Y403" s="2458"/>
      <c r="Z403" s="2458"/>
      <c r="AA403" s="2458"/>
      <c r="AB403" s="2458"/>
      <c r="AC403" s="2458"/>
      <c r="AD403" s="2458"/>
      <c r="AE403" s="2458"/>
      <c r="AF403" s="245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245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59"/>
      <c r="G405" s="2459"/>
      <c r="H405" s="2459"/>
      <c r="I405" s="2459"/>
      <c r="J405" s="2459"/>
      <c r="K405" s="2459"/>
      <c r="L405" s="2459"/>
      <c r="M405" s="2459"/>
      <c r="N405" s="2459"/>
      <c r="O405" s="2459"/>
      <c r="P405" s="2459"/>
      <c r="Q405" s="2459"/>
      <c r="R405" s="2459"/>
      <c r="S405" s="2459"/>
      <c r="T405" s="2459"/>
      <c r="U405" s="2459"/>
      <c r="V405" s="2459"/>
      <c r="W405" s="2459"/>
      <c r="X405" s="2459"/>
      <c r="Y405" s="2459"/>
      <c r="Z405" s="2459"/>
      <c r="AA405" s="2459"/>
      <c r="AB405" s="2459"/>
      <c r="AC405" s="2459"/>
      <c r="AD405" s="2459"/>
      <c r="AE405" s="2459"/>
      <c r="AF405" s="245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9"/>
      <c r="G406" s="2459"/>
      <c r="H406" s="2459"/>
      <c r="I406" s="2459"/>
      <c r="J406" s="2459"/>
      <c r="K406" s="2459"/>
      <c r="L406" s="2459"/>
      <c r="M406" s="2459"/>
      <c r="N406" s="2459"/>
      <c r="O406" s="2459"/>
      <c r="P406" s="2459"/>
      <c r="Q406" s="2459"/>
      <c r="R406" s="2459"/>
      <c r="S406" s="2459"/>
      <c r="T406" s="2459"/>
      <c r="U406" s="2459"/>
      <c r="V406" s="2459"/>
      <c r="W406" s="2459"/>
      <c r="X406" s="2459"/>
      <c r="Y406" s="2459"/>
      <c r="Z406" s="2459"/>
      <c r="AA406" s="2459"/>
      <c r="AB406" s="2459"/>
      <c r="AC406" s="2459"/>
      <c r="AD406" s="2459"/>
      <c r="AE406" s="2459"/>
      <c r="AF406" s="245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5" t="s">
        <v>591</v>
      </c>
      <c r="D407" s="241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6" t="s">
        <v>1462</v>
      </c>
      <c r="AG407" s="2456"/>
      <c r="AH407" s="2456"/>
      <c r="AI407" s="2456"/>
      <c r="AJ407" s="2456"/>
      <c r="AK407" s="2456"/>
      <c r="AL407" s="245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5" t="s">
        <v>545</v>
      </c>
      <c r="D409" s="241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6" t="s">
        <v>1474</v>
      </c>
      <c r="AG409" s="2456"/>
      <c r="AH409" s="2456"/>
      <c r="AI409" s="2456"/>
      <c r="AJ409" s="2456"/>
      <c r="AK409" s="2456"/>
      <c r="AL409" s="245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5" t="s">
        <v>591</v>
      </c>
      <c r="D412" s="2412"/>
      <c r="E412" s="716" t="s">
        <v>1475</v>
      </c>
      <c r="F412" s="2458" t="s">
        <v>1476</v>
      </c>
      <c r="G412" s="2458"/>
      <c r="H412" s="2458"/>
      <c r="I412" s="2458"/>
      <c r="J412" s="2458"/>
      <c r="K412" s="2458"/>
      <c r="L412" s="2458"/>
      <c r="M412" s="2458"/>
      <c r="N412" s="2458"/>
      <c r="O412" s="2458"/>
      <c r="P412" s="2458"/>
      <c r="Q412" s="2458"/>
      <c r="R412" s="2458"/>
      <c r="S412" s="2458"/>
      <c r="T412" s="2458"/>
      <c r="U412" s="2458"/>
      <c r="V412" s="2458"/>
      <c r="W412" s="2458"/>
      <c r="X412" s="2458"/>
      <c r="Y412" s="2458"/>
      <c r="Z412" s="2458"/>
      <c r="AA412" s="2458"/>
      <c r="AB412" s="2458"/>
      <c r="AC412" s="2458"/>
      <c r="AD412" s="2458"/>
      <c r="AE412" s="245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9"/>
      <c r="G413" s="2459"/>
      <c r="H413" s="2459"/>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2380" t="s">
        <v>1462</v>
      </c>
      <c r="AG413" s="2380"/>
      <c r="AH413" s="2380"/>
      <c r="AI413" s="2380"/>
      <c r="AJ413" s="2380"/>
      <c r="AK413" s="2380"/>
      <c r="AL413" s="2460"/>
      <c r="AM413" s="571"/>
      <c r="AN413" s="598"/>
      <c r="BS413" s="571"/>
      <c r="BT413" s="571"/>
      <c r="BY413" s="571"/>
      <c r="BZ413" s="571"/>
      <c r="CA413" s="571"/>
      <c r="CB413" s="571"/>
      <c r="CC413" s="571"/>
    </row>
    <row r="414" spans="1:81" s="551" customFormat="1" ht="12.75" customHeight="1">
      <c r="A414" s="537"/>
      <c r="B414" s="14"/>
      <c r="C414" s="732"/>
      <c r="D414" s="14"/>
      <c r="E414" s="692"/>
      <c r="F414" s="2459"/>
      <c r="G414" s="2459"/>
      <c r="H414" s="2459"/>
      <c r="I414" s="2459"/>
      <c r="J414" s="2459"/>
      <c r="K414" s="2459"/>
      <c r="L414" s="2459"/>
      <c r="M414" s="2459"/>
      <c r="N414" s="2459"/>
      <c r="O414" s="2459"/>
      <c r="P414" s="2459"/>
      <c r="Q414" s="2459"/>
      <c r="R414" s="2459"/>
      <c r="S414" s="2459"/>
      <c r="T414" s="2459"/>
      <c r="U414" s="2459"/>
      <c r="V414" s="2459"/>
      <c r="W414" s="2459"/>
      <c r="X414" s="2459"/>
      <c r="Y414" s="2459"/>
      <c r="Z414" s="2459"/>
      <c r="AA414" s="2459"/>
      <c r="AB414" s="2459"/>
      <c r="AC414" s="2459"/>
      <c r="AD414" s="2459"/>
      <c r="AE414" s="245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8"/>
      <c r="G415" s="2478"/>
      <c r="H415" s="2478"/>
      <c r="I415" s="2478"/>
      <c r="J415" s="2478"/>
      <c r="K415" s="2478"/>
      <c r="L415" s="2478"/>
      <c r="M415" s="2478"/>
      <c r="N415" s="2478"/>
      <c r="O415" s="2478"/>
      <c r="P415" s="2478"/>
      <c r="Q415" s="2478"/>
      <c r="R415" s="2478"/>
      <c r="S415" s="2478"/>
      <c r="T415" s="2478"/>
      <c r="U415" s="2478"/>
      <c r="V415" s="2478"/>
      <c r="W415" s="2478"/>
      <c r="X415" s="2478"/>
      <c r="Y415" s="2478"/>
      <c r="Z415" s="2478"/>
      <c r="AA415" s="2478"/>
      <c r="AB415" s="2478"/>
      <c r="AC415" s="2478"/>
      <c r="AD415" s="2478"/>
      <c r="AE415" s="247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8" t="s">
        <v>1478</v>
      </c>
      <c r="G417" s="2458"/>
      <c r="H417" s="2458"/>
      <c r="I417" s="2458"/>
      <c r="J417" s="2458"/>
      <c r="K417" s="2458"/>
      <c r="L417" s="2458"/>
      <c r="M417" s="2458"/>
      <c r="N417" s="2458"/>
      <c r="O417" s="2458"/>
      <c r="P417" s="2458"/>
      <c r="Q417" s="2458"/>
      <c r="R417" s="2458"/>
      <c r="S417" s="2458"/>
      <c r="T417" s="2458"/>
      <c r="U417" s="2458"/>
      <c r="V417" s="2458"/>
      <c r="W417" s="2458"/>
      <c r="X417" s="2458"/>
      <c r="Y417" s="2458"/>
      <c r="Z417" s="2458"/>
      <c r="AA417" s="2458"/>
      <c r="AB417" s="2458"/>
      <c r="AC417" s="2458"/>
      <c r="AD417" s="2458"/>
      <c r="AE417" s="2458"/>
      <c r="AF417" s="748"/>
      <c r="AG417" s="748"/>
      <c r="AH417" s="748"/>
      <c r="AI417" s="748"/>
      <c r="AJ417" s="748"/>
      <c r="AK417" s="748"/>
      <c r="AL417" s="749"/>
      <c r="AM417" s="571"/>
    </row>
    <row r="418" spans="1:55">
      <c r="A418" s="537"/>
      <c r="C418" s="732"/>
      <c r="E418" s="692"/>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F418" s="540"/>
      <c r="AG418" s="537"/>
      <c r="AH418" s="551"/>
      <c r="AI418" s="551"/>
      <c r="AJ418" s="551"/>
      <c r="AK418" s="551"/>
      <c r="AL418" s="733"/>
      <c r="AM418" s="571"/>
    </row>
    <row r="419" spans="1:55" s="551" customFormat="1" ht="12.75" customHeight="1">
      <c r="A419" s="537"/>
      <c r="B419" s="14"/>
      <c r="C419" s="732"/>
      <c r="D419" s="14"/>
      <c r="E419" s="692"/>
      <c r="F419" s="2459"/>
      <c r="G419" s="2459"/>
      <c r="H419" s="2459"/>
      <c r="I419" s="2459"/>
      <c r="J419" s="2459"/>
      <c r="K419" s="2459"/>
      <c r="L419" s="2459"/>
      <c r="M419" s="2459"/>
      <c r="N419" s="2459"/>
      <c r="O419" s="2459"/>
      <c r="P419" s="2459"/>
      <c r="Q419" s="2459"/>
      <c r="R419" s="2459"/>
      <c r="S419" s="2459"/>
      <c r="T419" s="2459"/>
      <c r="U419" s="2459"/>
      <c r="V419" s="2459"/>
      <c r="W419" s="2459"/>
      <c r="X419" s="2459"/>
      <c r="Y419" s="2459"/>
      <c r="Z419" s="2459"/>
      <c r="AA419" s="2459"/>
      <c r="AB419" s="2459"/>
      <c r="AC419" s="2459"/>
      <c r="AD419" s="2459"/>
      <c r="AE419" s="2459"/>
      <c r="AL419" s="733"/>
      <c r="AM419" s="571"/>
      <c r="AN419" s="598"/>
    </row>
    <row r="420" spans="1:55" s="551" customFormat="1" ht="12.75" customHeight="1">
      <c r="A420" s="537"/>
      <c r="B420" s="14"/>
      <c r="C420" s="740"/>
      <c r="F420" s="2459"/>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L420" s="733"/>
      <c r="AM420" s="571"/>
      <c r="AN420" s="598"/>
    </row>
    <row r="421" spans="1:55" s="551" customFormat="1" ht="12.75" customHeight="1">
      <c r="A421" s="537"/>
      <c r="B421" s="14"/>
      <c r="C421" s="2455" t="s">
        <v>591</v>
      </c>
      <c r="D421" s="241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0" t="s">
        <v>1462</v>
      </c>
      <c r="AG421" s="2380"/>
      <c r="AH421" s="2380"/>
      <c r="AI421" s="2380"/>
      <c r="AJ421" s="2380"/>
      <c r="AK421" s="2380"/>
      <c r="AL421" s="2460"/>
      <c r="AM421" s="571"/>
      <c r="AN421" s="598"/>
    </row>
    <row r="422" spans="1:55" s="551" customFormat="1" ht="12.75" customHeight="1">
      <c r="A422" s="537"/>
      <c r="B422" s="14"/>
      <c r="C422" s="740"/>
      <c r="AL422" s="733"/>
      <c r="AM422" s="571"/>
      <c r="AN422" s="598"/>
    </row>
    <row r="423" spans="1:55" s="551" customFormat="1" ht="12.75" customHeight="1">
      <c r="A423" s="537"/>
      <c r="B423" s="14"/>
      <c r="C423" s="2455" t="s">
        <v>591</v>
      </c>
      <c r="D423" s="241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0" t="s">
        <v>1474</v>
      </c>
      <c r="AG423" s="2380"/>
      <c r="AH423" s="2380"/>
      <c r="AI423" s="2380"/>
      <c r="AJ423" s="2380"/>
      <c r="AK423" s="2380"/>
      <c r="AL423" s="246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8" t="s">
        <v>1482</v>
      </c>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715"/>
      <c r="AG427" s="715"/>
      <c r="AH427" s="715"/>
      <c r="AI427" s="715"/>
      <c r="AJ427" s="715"/>
      <c r="AK427" s="715"/>
      <c r="AL427" s="746"/>
      <c r="AM427" s="571"/>
      <c r="AN427" s="598"/>
    </row>
    <row r="428" spans="1:55" s="551" customFormat="1" ht="12.75" customHeight="1">
      <c r="A428" s="537"/>
      <c r="B428" s="14"/>
      <c r="C428" s="732"/>
      <c r="D428" s="14"/>
      <c r="E428" s="692"/>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540"/>
      <c r="AG428" s="537"/>
      <c r="AL428" s="733"/>
      <c r="AM428" s="571"/>
      <c r="AN428" s="598"/>
    </row>
    <row r="429" spans="1:55" s="551" customFormat="1" ht="12.45" customHeight="1">
      <c r="A429" s="537"/>
      <c r="B429" s="14"/>
      <c r="C429" s="732"/>
      <c r="D429" s="14"/>
      <c r="E429" s="692"/>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L429" s="733"/>
      <c r="AM429" s="571"/>
      <c r="AN429" s="598"/>
    </row>
    <row r="430" spans="1:55" s="551" customFormat="1" ht="12.75" customHeight="1">
      <c r="A430" s="537"/>
      <c r="B430" s="14"/>
      <c r="C430" s="2455" t="s">
        <v>591</v>
      </c>
      <c r="D430" s="241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0" t="s">
        <v>1462</v>
      </c>
      <c r="AG430" s="2380"/>
      <c r="AH430" s="2380"/>
      <c r="AI430" s="2380"/>
      <c r="AJ430" s="2380"/>
      <c r="AK430" s="2380"/>
      <c r="AL430" s="246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58" t="s">
        <v>1485</v>
      </c>
      <c r="G433" s="2458"/>
      <c r="H433" s="2458"/>
      <c r="I433" s="2458"/>
      <c r="J433" s="2458"/>
      <c r="K433" s="2458"/>
      <c r="L433" s="2458"/>
      <c r="M433" s="2458"/>
      <c r="N433" s="2458"/>
      <c r="O433" s="2458"/>
      <c r="P433" s="2458"/>
      <c r="Q433" s="2458"/>
      <c r="R433" s="2458"/>
      <c r="S433" s="2458"/>
      <c r="T433" s="2458"/>
      <c r="U433" s="2458"/>
      <c r="V433" s="2458"/>
      <c r="W433" s="2458"/>
      <c r="X433" s="2458"/>
      <c r="Y433" s="2458"/>
      <c r="Z433" s="2458"/>
      <c r="AA433" s="2458"/>
      <c r="AB433" s="2458"/>
      <c r="AC433" s="2458"/>
      <c r="AD433" s="2458"/>
      <c r="AE433" s="2458"/>
      <c r="AF433" s="748"/>
      <c r="AG433" s="748"/>
      <c r="AH433" s="748"/>
      <c r="AI433" s="748"/>
      <c r="AJ433" s="748"/>
      <c r="AK433" s="748"/>
      <c r="AL433" s="749"/>
      <c r="AM433" s="571"/>
      <c r="AO433" s="551"/>
      <c r="AP433" s="551"/>
      <c r="BD433" s="14"/>
      <c r="BE433" s="14"/>
      <c r="BF433" s="14"/>
      <c r="BG433" s="14"/>
      <c r="BH433" s="14"/>
    </row>
    <row r="434" spans="1:60">
      <c r="A434" s="537"/>
      <c r="C434" s="732"/>
      <c r="E434" s="692"/>
      <c r="F434" s="2459"/>
      <c r="G434" s="2459"/>
      <c r="H434" s="2459"/>
      <c r="I434" s="2459"/>
      <c r="J434" s="2459"/>
      <c r="K434" s="2459"/>
      <c r="L434" s="2459"/>
      <c r="M434" s="2459"/>
      <c r="N434" s="2459"/>
      <c r="O434" s="2459"/>
      <c r="P434" s="2459"/>
      <c r="Q434" s="2459"/>
      <c r="R434" s="2459"/>
      <c r="S434" s="2459"/>
      <c r="T434" s="2459"/>
      <c r="U434" s="2459"/>
      <c r="V434" s="2459"/>
      <c r="W434" s="2459"/>
      <c r="X434" s="2459"/>
      <c r="Y434" s="2459"/>
      <c r="Z434" s="2459"/>
      <c r="AA434" s="2459"/>
      <c r="AB434" s="2459"/>
      <c r="AC434" s="2459"/>
      <c r="AD434" s="2459"/>
      <c r="AE434" s="2459"/>
      <c r="AF434" s="595"/>
      <c r="AG434" s="595"/>
      <c r="AH434" s="595"/>
      <c r="AI434" s="595"/>
      <c r="AJ434" s="595"/>
      <c r="AK434" s="595"/>
      <c r="AL434" s="751"/>
      <c r="AM434" s="571"/>
      <c r="AO434" s="551"/>
      <c r="AP434" s="551"/>
    </row>
    <row r="435" spans="1:60" s="551" customFormat="1" ht="12.75" customHeight="1">
      <c r="A435" s="537"/>
      <c r="B435" s="14"/>
      <c r="C435" s="732"/>
      <c r="D435" s="14"/>
      <c r="E435" s="692"/>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595"/>
      <c r="AG435" s="595"/>
      <c r="AH435" s="595"/>
      <c r="AI435" s="595"/>
      <c r="AJ435" s="595"/>
      <c r="AK435" s="595"/>
      <c r="AL435" s="751"/>
      <c r="AM435" s="571"/>
      <c r="AN435" s="598"/>
    </row>
    <row r="436" spans="1:60" s="551" customFormat="1" ht="12.75" customHeight="1">
      <c r="A436" s="537"/>
      <c r="B436" s="14"/>
      <c r="C436" s="752"/>
      <c r="D436" s="731"/>
      <c r="E436" s="720"/>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F437" s="595"/>
      <c r="AG437" s="595"/>
      <c r="AH437" s="595"/>
      <c r="AI437" s="595"/>
      <c r="AJ437" s="595"/>
      <c r="AK437" s="595"/>
      <c r="AL437" s="751"/>
      <c r="AM437" s="571"/>
      <c r="AN437" s="598"/>
    </row>
    <row r="438" spans="1:60" s="551" customFormat="1" ht="12.75" customHeight="1">
      <c r="A438" s="537"/>
      <c r="B438" s="14"/>
      <c r="C438" s="752"/>
      <c r="D438" s="731"/>
      <c r="E438" s="720"/>
      <c r="F438" s="2459"/>
      <c r="G438" s="2459"/>
      <c r="H438" s="2459"/>
      <c r="I438" s="2459"/>
      <c r="J438" s="2459"/>
      <c r="K438" s="2459"/>
      <c r="L438" s="2459"/>
      <c r="M438" s="2459"/>
      <c r="N438" s="2459"/>
      <c r="O438" s="2459"/>
      <c r="P438" s="2459"/>
      <c r="Q438" s="2459"/>
      <c r="R438" s="2459"/>
      <c r="S438" s="2459"/>
      <c r="T438" s="2459"/>
      <c r="U438" s="2459"/>
      <c r="V438" s="2459"/>
      <c r="W438" s="2459"/>
      <c r="X438" s="2459"/>
      <c r="Y438" s="2459"/>
      <c r="Z438" s="2459"/>
      <c r="AA438" s="2459"/>
      <c r="AB438" s="2459"/>
      <c r="AC438" s="2459"/>
      <c r="AD438" s="2459"/>
      <c r="AE438" s="2459"/>
      <c r="AF438" s="595"/>
      <c r="AG438" s="595"/>
      <c r="AH438" s="595"/>
      <c r="AI438" s="595"/>
      <c r="AJ438" s="595"/>
      <c r="AK438" s="595"/>
      <c r="AL438" s="751"/>
      <c r="AM438" s="571"/>
      <c r="AN438" s="598"/>
    </row>
    <row r="439" spans="1:60" s="551" customFormat="1" ht="12.75" customHeight="1">
      <c r="A439" s="537"/>
      <c r="B439" s="14"/>
      <c r="C439" s="752"/>
      <c r="D439" s="731"/>
      <c r="E439" s="720"/>
      <c r="F439" s="2459"/>
      <c r="G439" s="2459"/>
      <c r="H439" s="2459"/>
      <c r="I439" s="2459"/>
      <c r="J439" s="2459"/>
      <c r="K439" s="2459"/>
      <c r="L439" s="2459"/>
      <c r="M439" s="2459"/>
      <c r="N439" s="2459"/>
      <c r="O439" s="2459"/>
      <c r="P439" s="2459"/>
      <c r="Q439" s="2459"/>
      <c r="R439" s="2459"/>
      <c r="S439" s="2459"/>
      <c r="T439" s="2459"/>
      <c r="U439" s="2459"/>
      <c r="V439" s="2459"/>
      <c r="W439" s="2459"/>
      <c r="X439" s="2459"/>
      <c r="Y439" s="2459"/>
      <c r="Z439" s="2459"/>
      <c r="AA439" s="2459"/>
      <c r="AB439" s="2459"/>
      <c r="AC439" s="2459"/>
      <c r="AD439" s="2459"/>
      <c r="AE439" s="2459"/>
      <c r="AF439" s="595"/>
      <c r="AG439" s="595"/>
      <c r="AH439" s="595"/>
      <c r="AI439" s="595"/>
      <c r="AJ439" s="595"/>
      <c r="AK439" s="595"/>
      <c r="AL439" s="751"/>
      <c r="AM439" s="571"/>
      <c r="AN439" s="598"/>
    </row>
    <row r="440" spans="1:60" s="551" customFormat="1" ht="12.75" customHeight="1">
      <c r="A440" s="537"/>
      <c r="B440" s="14"/>
      <c r="C440" s="752"/>
      <c r="D440" s="731"/>
      <c r="E440" s="720"/>
      <c r="F440" s="2459"/>
      <c r="G440" s="2459"/>
      <c r="H440" s="2459"/>
      <c r="I440" s="2459"/>
      <c r="J440" s="2459"/>
      <c r="K440" s="2459"/>
      <c r="L440" s="2459"/>
      <c r="M440" s="2459"/>
      <c r="N440" s="2459"/>
      <c r="O440" s="2459"/>
      <c r="P440" s="2459"/>
      <c r="Q440" s="2459"/>
      <c r="R440" s="2459"/>
      <c r="S440" s="2459"/>
      <c r="T440" s="2459"/>
      <c r="U440" s="2459"/>
      <c r="V440" s="2459"/>
      <c r="W440" s="2459"/>
      <c r="X440" s="2459"/>
      <c r="Y440" s="2459"/>
      <c r="Z440" s="2459"/>
      <c r="AA440" s="2459"/>
      <c r="AB440" s="2459"/>
      <c r="AC440" s="2459"/>
      <c r="AD440" s="2459"/>
      <c r="AE440" s="2459"/>
      <c r="AF440" s="595"/>
      <c r="AG440" s="595"/>
      <c r="AH440" s="595"/>
      <c r="AI440" s="595"/>
      <c r="AJ440" s="595"/>
      <c r="AK440" s="595"/>
      <c r="AL440" s="751"/>
      <c r="AM440" s="571"/>
      <c r="AN440" s="598"/>
    </row>
    <row r="441" spans="1:60" s="551" customFormat="1" ht="17.25" customHeight="1">
      <c r="A441" s="537"/>
      <c r="B441" s="14"/>
      <c r="C441" s="752"/>
      <c r="D441" s="731"/>
      <c r="E441" s="720"/>
      <c r="F441" s="2459"/>
      <c r="G441" s="2459"/>
      <c r="H441" s="2459"/>
      <c r="I441" s="2459"/>
      <c r="J441" s="2459"/>
      <c r="K441" s="2459"/>
      <c r="L441" s="2459"/>
      <c r="M441" s="2459"/>
      <c r="N441" s="2459"/>
      <c r="O441" s="2459"/>
      <c r="P441" s="2459"/>
      <c r="Q441" s="2459"/>
      <c r="R441" s="2459"/>
      <c r="S441" s="2459"/>
      <c r="T441" s="2459"/>
      <c r="U441" s="2459"/>
      <c r="V441" s="2459"/>
      <c r="W441" s="2459"/>
      <c r="X441" s="2459"/>
      <c r="Y441" s="2459"/>
      <c r="Z441" s="2459"/>
      <c r="AA441" s="2459"/>
      <c r="AB441" s="2459"/>
      <c r="AC441" s="2459"/>
      <c r="AD441" s="2459"/>
      <c r="AE441" s="2459"/>
      <c r="AL441" s="733"/>
      <c r="AM441" s="571"/>
      <c r="AN441" s="598"/>
    </row>
    <row r="442" spans="1:60" s="551" customFormat="1" ht="12.75" customHeight="1">
      <c r="A442" s="537"/>
      <c r="B442" s="14"/>
      <c r="C442" s="2455" t="s">
        <v>591</v>
      </c>
      <c r="D442" s="241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0" t="s">
        <v>1462</v>
      </c>
      <c r="AG442" s="2380"/>
      <c r="AH442" s="2380"/>
      <c r="AI442" s="2380"/>
      <c r="AJ442" s="2380"/>
      <c r="AK442" s="2380"/>
      <c r="AL442" s="246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8" t="s">
        <v>1488</v>
      </c>
      <c r="G445" s="2458"/>
      <c r="H445" s="2458"/>
      <c r="I445" s="2458"/>
      <c r="J445" s="2458"/>
      <c r="K445" s="2458"/>
      <c r="L445" s="2458"/>
      <c r="M445" s="2458"/>
      <c r="N445" s="2458"/>
      <c r="O445" s="2458"/>
      <c r="P445" s="2458"/>
      <c r="Q445" s="2458"/>
      <c r="R445" s="2458"/>
      <c r="S445" s="2458"/>
      <c r="T445" s="2458"/>
      <c r="U445" s="2458"/>
      <c r="V445" s="2458"/>
      <c r="W445" s="2458"/>
      <c r="X445" s="2458"/>
      <c r="Y445" s="2458"/>
      <c r="Z445" s="2458"/>
      <c r="AA445" s="2458"/>
      <c r="AB445" s="2458"/>
      <c r="AC445" s="2458"/>
      <c r="AD445" s="2458"/>
      <c r="AE445" s="2458"/>
      <c r="AF445" s="715"/>
      <c r="AG445" s="715"/>
      <c r="AH445" s="715"/>
      <c r="AI445" s="715"/>
      <c r="AJ445" s="715"/>
      <c r="AK445" s="715"/>
      <c r="AL445" s="746"/>
      <c r="AM445" s="571"/>
      <c r="AN445" s="598"/>
    </row>
    <row r="446" spans="1:60" s="551" customFormat="1" ht="12.75" customHeight="1">
      <c r="A446" s="537"/>
      <c r="B446" s="14"/>
      <c r="C446" s="752"/>
      <c r="D446" s="731"/>
      <c r="E446" s="720"/>
      <c r="F446" s="2459"/>
      <c r="G446" s="2459"/>
      <c r="H446" s="2459"/>
      <c r="I446" s="2459"/>
      <c r="J446" s="2459"/>
      <c r="K446" s="2459"/>
      <c r="L446" s="2459"/>
      <c r="M446" s="2459"/>
      <c r="N446" s="2459"/>
      <c r="O446" s="2459"/>
      <c r="P446" s="2459"/>
      <c r="Q446" s="2459"/>
      <c r="R446" s="2459"/>
      <c r="S446" s="2459"/>
      <c r="T446" s="2459"/>
      <c r="U446" s="2459"/>
      <c r="V446" s="2459"/>
      <c r="W446" s="2459"/>
      <c r="X446" s="2459"/>
      <c r="Y446" s="2459"/>
      <c r="Z446" s="2459"/>
      <c r="AA446" s="2459"/>
      <c r="AB446" s="2459"/>
      <c r="AC446" s="2459"/>
      <c r="AD446" s="2459"/>
      <c r="AE446" s="2459"/>
      <c r="AF446" s="592"/>
      <c r="AG446" s="592"/>
      <c r="AH446" s="592"/>
      <c r="AI446" s="592"/>
      <c r="AJ446" s="592"/>
      <c r="AK446" s="592"/>
      <c r="AL446" s="721"/>
      <c r="AM446" s="571"/>
      <c r="AN446" s="598"/>
    </row>
    <row r="447" spans="1:60" s="551" customFormat="1" ht="12.75" customHeight="1">
      <c r="A447" s="537"/>
      <c r="B447" s="14"/>
      <c r="C447" s="752"/>
      <c r="D447" s="731"/>
      <c r="E447" s="720"/>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92"/>
      <c r="AG447" s="592"/>
      <c r="AH447" s="592"/>
      <c r="AI447" s="592"/>
      <c r="AJ447" s="592"/>
      <c r="AK447" s="592"/>
      <c r="AL447" s="721"/>
      <c r="AM447" s="571"/>
      <c r="AN447" s="598"/>
    </row>
    <row r="448" spans="1:60" s="551" customFormat="1" ht="12.75" customHeight="1">
      <c r="A448" s="537"/>
      <c r="B448" s="14"/>
      <c r="C448" s="752"/>
      <c r="D448" s="731"/>
      <c r="E448" s="720"/>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L448" s="733"/>
      <c r="AM448" s="571"/>
      <c r="AN448" s="598"/>
    </row>
    <row r="449" spans="1:40" s="551" customFormat="1" ht="12.75" customHeight="1">
      <c r="A449" s="537"/>
      <c r="B449" s="14"/>
      <c r="C449" s="2455" t="s">
        <v>591</v>
      </c>
      <c r="D449" s="241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0" t="s">
        <v>1462</v>
      </c>
      <c r="AG449" s="2380"/>
      <c r="AH449" s="2380"/>
      <c r="AI449" s="2380"/>
      <c r="AJ449" s="2380"/>
      <c r="AK449" s="2380"/>
      <c r="AL449" s="246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1" t="s">
        <v>591</v>
      </c>
      <c r="D453" s="2462"/>
      <c r="E453" s="716" t="s">
        <v>1497</v>
      </c>
      <c r="F453" s="2458" t="s">
        <v>1498</v>
      </c>
      <c r="G453" s="2458"/>
      <c r="H453" s="2458"/>
      <c r="I453" s="2458"/>
      <c r="J453" s="2458"/>
      <c r="K453" s="2458"/>
      <c r="L453" s="2458"/>
      <c r="M453" s="2458"/>
      <c r="N453" s="2458"/>
      <c r="O453" s="2458"/>
      <c r="P453" s="2458"/>
      <c r="Q453" s="2458"/>
      <c r="R453" s="2458"/>
      <c r="S453" s="2458"/>
      <c r="T453" s="2458"/>
      <c r="U453" s="2458"/>
      <c r="V453" s="2458"/>
      <c r="W453" s="2458"/>
      <c r="X453" s="2458"/>
      <c r="Y453" s="2458"/>
      <c r="Z453" s="2458"/>
      <c r="AA453" s="2458"/>
      <c r="AB453" s="2458"/>
      <c r="AC453" s="2458"/>
      <c r="AD453" s="2458"/>
      <c r="AE453" s="2458"/>
      <c r="AF453" s="2479" t="s">
        <v>1462</v>
      </c>
      <c r="AG453" s="2479"/>
      <c r="AH453" s="2479"/>
      <c r="AI453" s="2479"/>
      <c r="AJ453" s="2479"/>
      <c r="AK453" s="2479"/>
      <c r="AL453" s="2480"/>
      <c r="AM453" s="571"/>
      <c r="AN453" s="754"/>
    </row>
    <row r="454" spans="1:40" s="551" customFormat="1" ht="12.75" customHeight="1">
      <c r="A454" s="537"/>
      <c r="B454" s="14"/>
      <c r="C454" s="752"/>
      <c r="D454" s="731"/>
      <c r="E454" s="720"/>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592"/>
      <c r="AG454" s="592"/>
      <c r="AH454" s="592"/>
      <c r="AI454" s="592"/>
      <c r="AJ454" s="592"/>
      <c r="AK454" s="592"/>
      <c r="AL454" s="721"/>
      <c r="AM454" s="571"/>
      <c r="AN454" s="755"/>
    </row>
    <row r="455" spans="1:40" s="551" customFormat="1" ht="17.7" customHeight="1">
      <c r="A455" s="537"/>
      <c r="B455" s="14"/>
      <c r="C455" s="757"/>
      <c r="D455" s="724"/>
      <c r="E455" s="725"/>
      <c r="F455" s="2478"/>
      <c r="G455" s="2478"/>
      <c r="H455" s="2478"/>
      <c r="I455" s="2478"/>
      <c r="J455" s="2478"/>
      <c r="K455" s="2478"/>
      <c r="L455" s="2478"/>
      <c r="M455" s="2478"/>
      <c r="N455" s="2478"/>
      <c r="O455" s="2478"/>
      <c r="P455" s="2478"/>
      <c r="Q455" s="2478"/>
      <c r="R455" s="2478"/>
      <c r="S455" s="2478"/>
      <c r="T455" s="2478"/>
      <c r="U455" s="2478"/>
      <c r="V455" s="2478"/>
      <c r="W455" s="2478"/>
      <c r="X455" s="2478"/>
      <c r="Y455" s="2478"/>
      <c r="Z455" s="2478"/>
      <c r="AA455" s="2478"/>
      <c r="AB455" s="2478"/>
      <c r="AC455" s="2478"/>
      <c r="AD455" s="2478"/>
      <c r="AE455" s="247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5" t="s">
        <v>591</v>
      </c>
      <c r="D457" s="2412"/>
      <c r="E457" s="716" t="s">
        <v>1503</v>
      </c>
      <c r="F457" s="2458" t="s">
        <v>1504</v>
      </c>
      <c r="G457" s="2458"/>
      <c r="H457" s="2458"/>
      <c r="I457" s="2458"/>
      <c r="J457" s="2458"/>
      <c r="K457" s="2458"/>
      <c r="L457" s="2458"/>
      <c r="M457" s="2458"/>
      <c r="N457" s="2458"/>
      <c r="O457" s="2458"/>
      <c r="P457" s="2458"/>
      <c r="Q457" s="2458"/>
      <c r="R457" s="2458"/>
      <c r="S457" s="2458"/>
      <c r="T457" s="2458"/>
      <c r="U457" s="2458"/>
      <c r="V457" s="2458"/>
      <c r="W457" s="2458"/>
      <c r="X457" s="2458"/>
      <c r="Y457" s="2458"/>
      <c r="Z457" s="2458"/>
      <c r="AA457" s="2458"/>
      <c r="AB457" s="2458"/>
      <c r="AC457" s="2458"/>
      <c r="AD457" s="2458"/>
      <c r="AE457" s="2458"/>
      <c r="AF457" s="2479" t="s">
        <v>1462</v>
      </c>
      <c r="AG457" s="2479"/>
      <c r="AH457" s="2479"/>
      <c r="AI457" s="2479"/>
      <c r="AJ457" s="2479"/>
      <c r="AK457" s="2479"/>
      <c r="AL457" s="2480"/>
      <c r="AM457" s="571"/>
      <c r="AN457" s="536"/>
    </row>
    <row r="458" spans="1:40" s="551" customFormat="1" ht="12.75" customHeight="1">
      <c r="A458" s="537"/>
      <c r="B458" s="14"/>
      <c r="C458" s="732"/>
      <c r="D458" s="14"/>
      <c r="E458" s="692"/>
      <c r="F458" s="2459"/>
      <c r="G458" s="2459"/>
      <c r="H458" s="2459"/>
      <c r="I458" s="2459"/>
      <c r="J458" s="2459"/>
      <c r="K458" s="2459"/>
      <c r="L458" s="2459"/>
      <c r="M458" s="2459"/>
      <c r="N458" s="2459"/>
      <c r="O458" s="2459"/>
      <c r="P458" s="2459"/>
      <c r="Q458" s="2459"/>
      <c r="R458" s="2459"/>
      <c r="S458" s="2459"/>
      <c r="T458" s="2459"/>
      <c r="U458" s="2459"/>
      <c r="V458" s="2459"/>
      <c r="W458" s="2459"/>
      <c r="X458" s="2459"/>
      <c r="Y458" s="2459"/>
      <c r="Z458" s="2459"/>
      <c r="AA458" s="2459"/>
      <c r="AB458" s="2459"/>
      <c r="AC458" s="2459"/>
      <c r="AD458" s="2459"/>
      <c r="AE458" s="2459"/>
      <c r="AF458" s="540"/>
      <c r="AG458" s="537"/>
      <c r="AL458" s="733"/>
      <c r="AM458" s="571"/>
      <c r="AN458" s="536"/>
    </row>
    <row r="459" spans="1:40" s="551" customFormat="1" ht="12.75" customHeight="1">
      <c r="A459" s="537"/>
      <c r="B459" s="14"/>
      <c r="C459" s="732"/>
      <c r="D459" s="14"/>
      <c r="E459" s="692"/>
      <c r="F459" s="2459"/>
      <c r="G459" s="2459"/>
      <c r="H459" s="2459"/>
      <c r="I459" s="2459"/>
      <c r="J459" s="2459"/>
      <c r="K459" s="2459"/>
      <c r="L459" s="2459"/>
      <c r="M459" s="2459"/>
      <c r="N459" s="2459"/>
      <c r="O459" s="2459"/>
      <c r="P459" s="2459"/>
      <c r="Q459" s="2459"/>
      <c r="R459" s="2459"/>
      <c r="S459" s="2459"/>
      <c r="T459" s="2459"/>
      <c r="U459" s="2459"/>
      <c r="V459" s="2459"/>
      <c r="W459" s="2459"/>
      <c r="X459" s="2459"/>
      <c r="Y459" s="2459"/>
      <c r="Z459" s="2459"/>
      <c r="AA459" s="2459"/>
      <c r="AB459" s="2459"/>
      <c r="AC459" s="2459"/>
      <c r="AD459" s="2459"/>
      <c r="AE459" s="2459"/>
      <c r="AF459" s="540"/>
      <c r="AG459" s="537"/>
      <c r="AL459" s="733"/>
      <c r="AM459" s="571"/>
      <c r="AN459" s="536"/>
    </row>
    <row r="460" spans="1:40" s="551" customFormat="1" ht="12.75" customHeight="1">
      <c r="A460" s="537"/>
      <c r="B460" s="14"/>
      <c r="C460" s="757"/>
      <c r="D460" s="724"/>
      <c r="E460" s="725"/>
      <c r="F460" s="2478"/>
      <c r="G460" s="2478"/>
      <c r="H460" s="2478"/>
      <c r="I460" s="2478"/>
      <c r="J460" s="2478"/>
      <c r="K460" s="2478"/>
      <c r="L460" s="2478"/>
      <c r="M460" s="2478"/>
      <c r="N460" s="2478"/>
      <c r="O460" s="2478"/>
      <c r="P460" s="2478"/>
      <c r="Q460" s="2478"/>
      <c r="R460" s="2478"/>
      <c r="S460" s="2478"/>
      <c r="T460" s="2478"/>
      <c r="U460" s="2478"/>
      <c r="V460" s="2478"/>
      <c r="W460" s="2478"/>
      <c r="X460" s="2478"/>
      <c r="Y460" s="2478"/>
      <c r="Z460" s="2478"/>
      <c r="AA460" s="2478"/>
      <c r="AB460" s="2478"/>
      <c r="AC460" s="2478"/>
      <c r="AD460" s="2478"/>
      <c r="AE460" s="247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8" t="s">
        <v>1507</v>
      </c>
      <c r="G462" s="2458"/>
      <c r="H462" s="2458"/>
      <c r="I462" s="2458"/>
      <c r="J462" s="2458"/>
      <c r="K462" s="2458"/>
      <c r="L462" s="2458"/>
      <c r="M462" s="2458"/>
      <c r="N462" s="2458"/>
      <c r="O462" s="2458"/>
      <c r="P462" s="2458"/>
      <c r="Q462" s="2458"/>
      <c r="R462" s="2458"/>
      <c r="S462" s="2458"/>
      <c r="T462" s="2458"/>
      <c r="U462" s="2458"/>
      <c r="V462" s="2458"/>
      <c r="W462" s="2458"/>
      <c r="X462" s="2458"/>
      <c r="Y462" s="2458"/>
      <c r="Z462" s="2458"/>
      <c r="AA462" s="2458"/>
      <c r="AB462" s="2458"/>
      <c r="AC462" s="2458"/>
      <c r="AD462" s="2458"/>
      <c r="AE462" s="2458"/>
      <c r="AF462" s="2458"/>
      <c r="AG462" s="745"/>
      <c r="AH462" s="715"/>
      <c r="AI462" s="715"/>
      <c r="AJ462" s="715"/>
      <c r="AK462" s="715"/>
      <c r="AL462" s="746"/>
      <c r="AM462" s="571"/>
      <c r="AN462" s="598"/>
    </row>
    <row r="463" spans="1:40" s="551" customFormat="1" ht="12.75" customHeight="1">
      <c r="A463" s="537"/>
      <c r="B463" s="14"/>
      <c r="C463" s="732"/>
      <c r="D463" s="14"/>
      <c r="E463" s="692"/>
      <c r="F463" s="2459"/>
      <c r="G463" s="2459"/>
      <c r="H463" s="2459"/>
      <c r="I463" s="2459"/>
      <c r="J463" s="2459"/>
      <c r="K463" s="2459"/>
      <c r="L463" s="2459"/>
      <c r="M463" s="2459"/>
      <c r="N463" s="2459"/>
      <c r="O463" s="2459"/>
      <c r="P463" s="2459"/>
      <c r="Q463" s="2459"/>
      <c r="R463" s="2459"/>
      <c r="S463" s="2459"/>
      <c r="T463" s="2459"/>
      <c r="U463" s="2459"/>
      <c r="V463" s="2459"/>
      <c r="W463" s="2459"/>
      <c r="X463" s="2459"/>
      <c r="Y463" s="2459"/>
      <c r="Z463" s="2459"/>
      <c r="AA463" s="2459"/>
      <c r="AB463" s="2459"/>
      <c r="AC463" s="2459"/>
      <c r="AD463" s="2459"/>
      <c r="AE463" s="2459"/>
      <c r="AF463" s="2459"/>
      <c r="AL463" s="733"/>
      <c r="AM463" s="571"/>
      <c r="AN463" s="598"/>
    </row>
    <row r="464" spans="1:40" s="551" customFormat="1" ht="12.75" customHeight="1">
      <c r="A464" s="537"/>
      <c r="B464" s="14"/>
      <c r="C464" s="740"/>
      <c r="F464" s="2459"/>
      <c r="G464" s="2459"/>
      <c r="H464" s="2459"/>
      <c r="I464" s="2459"/>
      <c r="J464" s="2459"/>
      <c r="K464" s="2459"/>
      <c r="L464" s="2459"/>
      <c r="M464" s="2459"/>
      <c r="N464" s="2459"/>
      <c r="O464" s="2459"/>
      <c r="P464" s="2459"/>
      <c r="Q464" s="2459"/>
      <c r="R464" s="2459"/>
      <c r="S464" s="2459"/>
      <c r="T464" s="2459"/>
      <c r="U464" s="2459"/>
      <c r="V464" s="2459"/>
      <c r="W464" s="2459"/>
      <c r="X464" s="2459"/>
      <c r="Y464" s="2459"/>
      <c r="Z464" s="2459"/>
      <c r="AA464" s="2459"/>
      <c r="AB464" s="2459"/>
      <c r="AC464" s="2459"/>
      <c r="AD464" s="2459"/>
      <c r="AE464" s="2459"/>
      <c r="AF464" s="2459"/>
      <c r="AL464" s="733"/>
      <c r="AM464" s="571"/>
      <c r="AN464" s="598"/>
    </row>
    <row r="465" spans="1:58" s="551" customFormat="1" ht="12.75" customHeight="1">
      <c r="A465" s="537"/>
      <c r="B465" s="14"/>
      <c r="C465" s="740"/>
      <c r="F465" s="2459"/>
      <c r="G465" s="2459"/>
      <c r="H465" s="2459"/>
      <c r="I465" s="2459"/>
      <c r="J465" s="2459"/>
      <c r="K465" s="2459"/>
      <c r="L465" s="2459"/>
      <c r="M465" s="2459"/>
      <c r="N465" s="2459"/>
      <c r="O465" s="2459"/>
      <c r="P465" s="2459"/>
      <c r="Q465" s="2459"/>
      <c r="R465" s="2459"/>
      <c r="S465" s="2459"/>
      <c r="T465" s="2459"/>
      <c r="U465" s="2459"/>
      <c r="V465" s="2459"/>
      <c r="W465" s="2459"/>
      <c r="X465" s="2459"/>
      <c r="Y465" s="2459"/>
      <c r="Z465" s="2459"/>
      <c r="AA465" s="2459"/>
      <c r="AB465" s="2459"/>
      <c r="AC465" s="2459"/>
      <c r="AD465" s="2459"/>
      <c r="AE465" s="2459"/>
      <c r="AF465" s="2459"/>
      <c r="AL465" s="733"/>
      <c r="AM465" s="571"/>
      <c r="AN465" s="598"/>
    </row>
    <row r="466" spans="1:58" s="551" customFormat="1" ht="12.75" customHeight="1">
      <c r="A466" s="537"/>
      <c r="B466" s="14"/>
      <c r="C466" s="2455" t="s">
        <v>591</v>
      </c>
      <c r="D466" s="241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6" t="s">
        <v>1462</v>
      </c>
      <c r="AG466" s="2456"/>
      <c r="AH466" s="2456"/>
      <c r="AI466" s="2456"/>
      <c r="AJ466" s="2456"/>
      <c r="AK466" s="2456"/>
      <c r="AL466" s="245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5">
        <f>IF(Application!D214="N/A",AS358,AS360)</f>
        <v>10</v>
      </c>
      <c r="AL469" s="2416"/>
      <c r="AM469" s="241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6" t="s">
        <v>1511</v>
      </c>
      <c r="AF472" s="2456"/>
      <c r="AG472" s="2456"/>
      <c r="AH472" s="2456"/>
      <c r="AI472" s="2456"/>
      <c r="AJ472" s="2456"/>
      <c r="AK472" s="245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81" t="s">
        <v>591</v>
      </c>
      <c r="D478" s="2482"/>
      <c r="E478" s="762" t="s">
        <v>507</v>
      </c>
      <c r="F478" s="2483" t="s">
        <v>1517</v>
      </c>
      <c r="G478" s="2483"/>
      <c r="H478" s="2483"/>
      <c r="I478" s="2483"/>
      <c r="J478" s="2483"/>
      <c r="K478" s="2483"/>
      <c r="L478" s="2483"/>
      <c r="M478" s="2483"/>
      <c r="N478" s="2483"/>
      <c r="O478" s="2483"/>
      <c r="P478" s="2483"/>
      <c r="Q478" s="2483"/>
      <c r="R478" s="2483"/>
      <c r="S478" s="2483"/>
      <c r="T478" s="2483"/>
      <c r="U478" s="2483"/>
      <c r="V478" s="2483"/>
      <c r="W478" s="2483"/>
      <c r="X478" s="2483"/>
      <c r="Y478" s="2483"/>
      <c r="Z478" s="2483"/>
      <c r="AA478" s="2483"/>
      <c r="AB478" s="2483"/>
      <c r="AC478" s="2483"/>
      <c r="AD478" s="2483"/>
      <c r="AE478" s="248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4"/>
      <c r="G479" s="2484"/>
      <c r="H479" s="2484"/>
      <c r="I479" s="2484"/>
      <c r="J479" s="2484"/>
      <c r="K479" s="2484"/>
      <c r="L479" s="2484"/>
      <c r="M479" s="2484"/>
      <c r="N479" s="2484"/>
      <c r="O479" s="2484"/>
      <c r="P479" s="2484"/>
      <c r="Q479" s="2484"/>
      <c r="R479" s="2484"/>
      <c r="S479" s="2484"/>
      <c r="T479" s="2484"/>
      <c r="U479" s="2484"/>
      <c r="V479" s="2484"/>
      <c r="W479" s="2484"/>
      <c r="X479" s="2484"/>
      <c r="Y479" s="2484"/>
      <c r="Z479" s="2484"/>
      <c r="AA479" s="2484"/>
      <c r="AB479" s="2484"/>
      <c r="AC479" s="2484"/>
      <c r="AD479" s="2484"/>
      <c r="AE479" s="248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7" t="s">
        <v>591</v>
      </c>
      <c r="G480" s="2557"/>
      <c r="H480" s="2557"/>
      <c r="I480" s="2557"/>
      <c r="J480" s="2557"/>
      <c r="K480" s="2557"/>
      <c r="L480" s="2557"/>
      <c r="M480" s="2557"/>
      <c r="N480" s="2557"/>
      <c r="O480" s="2557"/>
      <c r="P480" s="2557"/>
      <c r="Q480" s="2557"/>
      <c r="R480" s="2557"/>
      <c r="S480" s="2557"/>
      <c r="T480" s="2557"/>
      <c r="U480" s="2557"/>
      <c r="V480" s="2557"/>
      <c r="W480" s="2557"/>
      <c r="X480" s="2557"/>
      <c r="Y480" s="2557"/>
      <c r="Z480" s="255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8" t="s">
        <v>545</v>
      </c>
      <c r="D482" s="255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6" t="s">
        <v>591</v>
      </c>
      <c r="W485" s="2556"/>
      <c r="X485" s="255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6" t="s">
        <v>591</v>
      </c>
      <c r="W487" s="2556"/>
      <c r="X487" s="255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6" t="s">
        <v>591</v>
      </c>
      <c r="W492" s="2556"/>
      <c r="X492" s="255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6"/>
      <c r="E495" s="254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6" t="s">
        <v>591</v>
      </c>
      <c r="W496" s="2556"/>
      <c r="X496" s="255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6" t="s">
        <v>591</v>
      </c>
      <c r="W498" s="2556"/>
      <c r="X498" s="255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1" t="s">
        <v>591</v>
      </c>
      <c r="D501" s="2482"/>
      <c r="E501" s="762" t="s">
        <v>507</v>
      </c>
      <c r="F501" s="2483" t="s">
        <v>1517</v>
      </c>
      <c r="G501" s="2483"/>
      <c r="H501" s="2483"/>
      <c r="I501" s="2483"/>
      <c r="J501" s="2483"/>
      <c r="K501" s="2483"/>
      <c r="L501" s="2483"/>
      <c r="M501" s="2483"/>
      <c r="N501" s="2483"/>
      <c r="O501" s="2483"/>
      <c r="P501" s="2483"/>
      <c r="Q501" s="2483"/>
      <c r="R501" s="2483"/>
      <c r="S501" s="2483"/>
      <c r="T501" s="2483"/>
      <c r="U501" s="2483"/>
      <c r="V501" s="2483"/>
      <c r="W501" s="2483"/>
      <c r="X501" s="2483"/>
      <c r="Y501" s="2483"/>
      <c r="Z501" s="2483"/>
      <c r="AA501" s="2483"/>
      <c r="AB501" s="2483"/>
      <c r="AC501" s="2483"/>
      <c r="AD501" s="2483"/>
      <c r="AE501" s="248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4"/>
      <c r="G502" s="2484"/>
      <c r="H502" s="2484"/>
      <c r="I502" s="2484"/>
      <c r="J502" s="2484"/>
      <c r="K502" s="2484"/>
      <c r="L502" s="2484"/>
      <c r="M502" s="2484"/>
      <c r="N502" s="2484"/>
      <c r="O502" s="2484"/>
      <c r="P502" s="2484"/>
      <c r="Q502" s="2484"/>
      <c r="R502" s="2484"/>
      <c r="S502" s="2484"/>
      <c r="T502" s="2484"/>
      <c r="U502" s="2484"/>
      <c r="V502" s="2484"/>
      <c r="W502" s="2484"/>
      <c r="X502" s="2484"/>
      <c r="Y502" s="2484"/>
      <c r="Z502" s="2484"/>
      <c r="AA502" s="2484"/>
      <c r="AB502" s="2484"/>
      <c r="AC502" s="2484"/>
      <c r="AD502" s="2484"/>
      <c r="AE502" s="248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2" t="s">
        <v>591</v>
      </c>
      <c r="G503" s="2552"/>
      <c r="H503" s="2552"/>
      <c r="I503" s="2552"/>
      <c r="J503" s="2552"/>
      <c r="K503" s="2552"/>
      <c r="L503" s="2552"/>
      <c r="M503" s="2552"/>
      <c r="N503" s="2552"/>
      <c r="O503" s="2552"/>
      <c r="P503" s="2552"/>
      <c r="Q503" s="2552"/>
      <c r="R503" s="2552"/>
      <c r="S503" s="2552"/>
      <c r="T503" s="2552"/>
      <c r="U503" s="2552"/>
      <c r="V503" s="2552"/>
      <c r="W503" s="2552"/>
      <c r="X503" s="2552"/>
      <c r="Y503" s="2552"/>
      <c r="Z503" s="255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1" t="s">
        <v>591</v>
      </c>
      <c r="D505" s="2482"/>
      <c r="E505" s="762" t="s">
        <v>757</v>
      </c>
      <c r="F505" s="2553" t="s">
        <v>1539</v>
      </c>
      <c r="G505" s="2553"/>
      <c r="H505" s="2553"/>
      <c r="I505" s="2553"/>
      <c r="J505" s="2553"/>
      <c r="K505" s="2553"/>
      <c r="L505" s="2553"/>
      <c r="M505" s="2553"/>
      <c r="N505" s="2553"/>
      <c r="O505" s="2553"/>
      <c r="P505" s="2553"/>
      <c r="Q505" s="2553"/>
      <c r="R505" s="2553"/>
      <c r="S505" s="2553"/>
      <c r="T505" s="2553"/>
      <c r="U505" s="2553"/>
      <c r="V505" s="2553"/>
      <c r="W505" s="2553"/>
      <c r="X505" s="2553"/>
      <c r="Y505" s="2553"/>
      <c r="Z505" s="2553"/>
      <c r="AA505" s="2553"/>
      <c r="AB505" s="2553"/>
      <c r="AC505" s="2553"/>
      <c r="AD505" s="2553"/>
      <c r="AE505" s="255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4"/>
      <c r="G506" s="2554"/>
      <c r="H506" s="2554"/>
      <c r="I506" s="2554"/>
      <c r="J506" s="2554"/>
      <c r="K506" s="2554"/>
      <c r="L506" s="2554"/>
      <c r="M506" s="2554"/>
      <c r="N506" s="2554"/>
      <c r="O506" s="2554"/>
      <c r="P506" s="2554"/>
      <c r="Q506" s="2554"/>
      <c r="R506" s="2554"/>
      <c r="S506" s="2554"/>
      <c r="T506" s="2554"/>
      <c r="U506" s="2554"/>
      <c r="V506" s="2554"/>
      <c r="W506" s="2554"/>
      <c r="X506" s="2554"/>
      <c r="Y506" s="2554"/>
      <c r="Z506" s="2554"/>
      <c r="AA506" s="2554"/>
      <c r="AB506" s="2554"/>
      <c r="AC506" s="2554"/>
      <c r="AD506" s="2554"/>
      <c r="AE506" s="255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5" t="s">
        <v>591</v>
      </c>
      <c r="G508" s="2555"/>
      <c r="H508" s="255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1" t="s">
        <v>591</v>
      </c>
      <c r="D510" s="248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5"/>
      <c r="D512" s="254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7" t="s">
        <v>591</v>
      </c>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254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5" t="s">
        <v>591</v>
      </c>
      <c r="D515" s="248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5" t="s">
        <v>591</v>
      </c>
      <c r="D519" s="2486"/>
      <c r="F519" s="796" t="s">
        <v>1547</v>
      </c>
      <c r="G519" s="2459" t="s">
        <v>1548</v>
      </c>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245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247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7" t="s">
        <v>591</v>
      </c>
      <c r="D523" s="248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9" t="s">
        <v>591</v>
      </c>
      <c r="G524" s="2489"/>
      <c r="H524" s="2489"/>
      <c r="I524" s="2489"/>
      <c r="J524" s="2489"/>
      <c r="K524" s="2489"/>
      <c r="L524" s="2489"/>
      <c r="M524" s="2489"/>
      <c r="N524" s="2489"/>
      <c r="O524" s="2489"/>
      <c r="P524" s="2489"/>
      <c r="Q524" s="2489"/>
      <c r="R524" s="2489"/>
      <c r="S524" s="2489"/>
      <c r="T524" s="2489"/>
      <c r="U524" s="2489"/>
      <c r="V524" s="2489"/>
      <c r="W524" s="2489"/>
      <c r="X524" s="2489"/>
      <c r="Y524" s="2489"/>
      <c r="Z524" s="2489"/>
      <c r="AA524" s="2489"/>
      <c r="AB524" s="2489"/>
      <c r="AC524" s="2489"/>
      <c r="AD524" s="2489"/>
      <c r="AE524" s="2489"/>
      <c r="AF524" s="248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0"/>
      <c r="G525" s="2490"/>
      <c r="H525" s="2490"/>
      <c r="I525" s="2490"/>
      <c r="J525" s="2490"/>
      <c r="K525" s="2490"/>
      <c r="L525" s="2490"/>
      <c r="M525" s="2490"/>
      <c r="N525" s="2490"/>
      <c r="O525" s="2490"/>
      <c r="P525" s="2490"/>
      <c r="Q525" s="2490"/>
      <c r="R525" s="2490"/>
      <c r="S525" s="2490"/>
      <c r="T525" s="2490"/>
      <c r="U525" s="2490"/>
      <c r="V525" s="2490"/>
      <c r="W525" s="2490"/>
      <c r="X525" s="2490"/>
      <c r="Y525" s="2490"/>
      <c r="Z525" s="2490"/>
      <c r="AA525" s="2490"/>
      <c r="AB525" s="2490"/>
      <c r="AC525" s="2490"/>
      <c r="AD525" s="2490"/>
      <c r="AE525" s="2490"/>
      <c r="AF525" s="249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5">
        <f>SUM(AG479:AG524)</f>
        <v>0</v>
      </c>
      <c r="AL535" s="2416"/>
      <c r="AM535" s="241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5" t="s">
        <v>1560</v>
      </c>
      <c r="AF538" s="2345"/>
      <c r="AG538" s="2345"/>
      <c r="AH538" s="2345"/>
      <c r="AI538" s="2345"/>
      <c r="AJ538" s="2345"/>
      <c r="AK538" s="234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2" t="s">
        <v>545</v>
      </c>
      <c r="D541" s="2412"/>
      <c r="E541" s="552"/>
      <c r="F541" s="2539" t="s">
        <v>1561</v>
      </c>
      <c r="G541" s="2540"/>
      <c r="H541" s="2540"/>
      <c r="I541" s="2540"/>
      <c r="J541" s="2540"/>
      <c r="K541" s="2540"/>
      <c r="L541" s="2540"/>
      <c r="M541" s="2540"/>
      <c r="N541" s="2540"/>
      <c r="O541" s="2540"/>
      <c r="P541" s="2540"/>
      <c r="Q541" s="2540"/>
      <c r="R541" s="2540"/>
      <c r="S541" s="2540"/>
      <c r="T541" s="2540"/>
      <c r="U541" s="2540"/>
      <c r="V541" s="2540"/>
      <c r="W541" s="2540"/>
      <c r="X541" s="2540"/>
      <c r="Y541" s="2540"/>
      <c r="Z541" s="2540"/>
      <c r="AA541" s="2540"/>
      <c r="AB541" s="2540"/>
      <c r="AC541" s="2540"/>
      <c r="AD541" s="2540"/>
      <c r="AE541" s="2540"/>
      <c r="AF541" s="2540"/>
      <c r="AG541" s="2540"/>
      <c r="AH541" s="2540"/>
      <c r="AI541" s="2540"/>
      <c r="AJ541" s="2540"/>
      <c r="AK541" s="2540"/>
      <c r="AL541" s="2541"/>
      <c r="AM541" s="596"/>
      <c r="AN541" s="598"/>
    </row>
    <row r="542" spans="1:81" s="551" customFormat="1" ht="12.75" customHeight="1">
      <c r="A542" s="540"/>
      <c r="B542" s="540"/>
      <c r="C542" s="552"/>
      <c r="D542" s="552"/>
      <c r="E542" s="552"/>
      <c r="F542" s="2542"/>
      <c r="G542" s="2543"/>
      <c r="H542" s="2543"/>
      <c r="I542" s="2543"/>
      <c r="J542" s="2543"/>
      <c r="K542" s="2543"/>
      <c r="L542" s="2543"/>
      <c r="M542" s="2543"/>
      <c r="N542" s="2543"/>
      <c r="O542" s="2543"/>
      <c r="P542" s="2543"/>
      <c r="Q542" s="2543"/>
      <c r="R542" s="2543"/>
      <c r="S542" s="2543"/>
      <c r="T542" s="2543"/>
      <c r="U542" s="2543"/>
      <c r="V542" s="2543"/>
      <c r="W542" s="2543"/>
      <c r="X542" s="2543"/>
      <c r="Y542" s="2543"/>
      <c r="Z542" s="2543"/>
      <c r="AA542" s="2543"/>
      <c r="AB542" s="2543"/>
      <c r="AC542" s="2543"/>
      <c r="AD542" s="2543"/>
      <c r="AE542" s="2543"/>
      <c r="AF542" s="2543"/>
      <c r="AG542" s="2543"/>
      <c r="AH542" s="2543"/>
      <c r="AI542" s="2543"/>
      <c r="AJ542" s="2543"/>
      <c r="AK542" s="2543"/>
      <c r="AL542" s="254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2" t="s">
        <v>591</v>
      </c>
      <c r="D544" s="241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4" t="s">
        <v>1563</v>
      </c>
      <c r="G545" s="2435"/>
      <c r="H545" s="2435"/>
      <c r="I545" s="2435"/>
      <c r="J545" s="2435"/>
      <c r="K545" s="2435"/>
      <c r="L545" s="2435"/>
      <c r="M545" s="2435"/>
      <c r="N545" s="2435"/>
      <c r="O545" s="2435"/>
      <c r="P545" s="2435"/>
      <c r="Q545" s="2435"/>
      <c r="R545" s="2435"/>
      <c r="S545" s="2435"/>
      <c r="T545" s="2435"/>
      <c r="U545" s="2435"/>
      <c r="V545" s="2435"/>
      <c r="W545" s="2435"/>
      <c r="X545" s="2435"/>
      <c r="Y545" s="2435"/>
      <c r="Z545" s="2435"/>
      <c r="AA545" s="2435"/>
      <c r="AB545" s="2435"/>
      <c r="AC545" s="2435"/>
      <c r="AD545" s="2435"/>
      <c r="AE545" s="2435"/>
      <c r="AF545" s="2435"/>
      <c r="AG545" s="2435"/>
      <c r="AH545" s="2435"/>
      <c r="AI545" s="2435"/>
      <c r="AJ545" s="2435"/>
      <c r="AK545" s="2435"/>
      <c r="AL545" s="2436"/>
      <c r="AM545" s="596"/>
      <c r="AN545" s="598"/>
      <c r="AS545" s="871"/>
      <c r="AT545" s="871"/>
      <c r="AU545" s="871"/>
      <c r="AV545" s="871"/>
      <c r="AW545" s="871"/>
    </row>
    <row r="546" spans="1:49" s="551" customFormat="1" ht="12.75" customHeight="1">
      <c r="B546" s="807"/>
      <c r="C546" s="807"/>
      <c r="D546" s="807"/>
      <c r="E546" s="807"/>
      <c r="F546" s="2434"/>
      <c r="G546" s="2435"/>
      <c r="H546" s="2435"/>
      <c r="I546" s="2435"/>
      <c r="J546" s="2435"/>
      <c r="K546" s="2435"/>
      <c r="L546" s="2435"/>
      <c r="M546" s="2435"/>
      <c r="N546" s="2435"/>
      <c r="O546" s="2435"/>
      <c r="P546" s="2435"/>
      <c r="Q546" s="2435"/>
      <c r="R546" s="2435"/>
      <c r="S546" s="2435"/>
      <c r="T546" s="2435"/>
      <c r="U546" s="2435"/>
      <c r="V546" s="2435"/>
      <c r="W546" s="2435"/>
      <c r="X546" s="2435"/>
      <c r="Y546" s="2435"/>
      <c r="Z546" s="2435"/>
      <c r="AA546" s="2435"/>
      <c r="AB546" s="2435"/>
      <c r="AC546" s="2435"/>
      <c r="AD546" s="2435"/>
      <c r="AE546" s="2435"/>
      <c r="AF546" s="2435"/>
      <c r="AG546" s="2435"/>
      <c r="AH546" s="2435"/>
      <c r="AI546" s="2435"/>
      <c r="AJ546" s="2435"/>
      <c r="AK546" s="2435"/>
      <c r="AL546" s="243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4" t="s">
        <v>1564</v>
      </c>
      <c r="G548" s="2435"/>
      <c r="H548" s="2435"/>
      <c r="I548" s="2435"/>
      <c r="J548" s="2435"/>
      <c r="K548" s="2435"/>
      <c r="L548" s="2435"/>
      <c r="M548" s="2435"/>
      <c r="N548" s="2435"/>
      <c r="O548" s="2435"/>
      <c r="P548" s="2435"/>
      <c r="Q548" s="2435"/>
      <c r="R548" s="2435"/>
      <c r="S548" s="2435"/>
      <c r="T548" s="2435"/>
      <c r="U548" s="2435"/>
      <c r="V548" s="2435"/>
      <c r="W548" s="2435"/>
      <c r="X548" s="2435"/>
      <c r="Y548" s="2435"/>
      <c r="Z548" s="2435"/>
      <c r="AA548" s="2435"/>
      <c r="AB548" s="2435"/>
      <c r="AC548" s="2435"/>
      <c r="AD548" s="2435"/>
      <c r="AE548" s="2435"/>
      <c r="AF548" s="2435"/>
      <c r="AG548" s="2435"/>
      <c r="AH548" s="2435"/>
      <c r="AI548" s="2435"/>
      <c r="AJ548" s="2435"/>
      <c r="AK548" s="2435"/>
      <c r="AL548" s="814"/>
      <c r="AM548" s="596"/>
      <c r="AN548" s="598"/>
    </row>
    <row r="549" spans="1:49" s="551" customFormat="1" ht="12.75" customHeight="1">
      <c r="B549" s="807"/>
      <c r="C549" s="807"/>
      <c r="D549" s="807"/>
      <c r="E549" s="807"/>
      <c r="F549" s="2437"/>
      <c r="G549" s="2438"/>
      <c r="H549" s="2438"/>
      <c r="I549" s="2438"/>
      <c r="J549" s="2438"/>
      <c r="K549" s="2438"/>
      <c r="L549" s="2438"/>
      <c r="M549" s="2438"/>
      <c r="N549" s="2438"/>
      <c r="O549" s="2438"/>
      <c r="P549" s="2438"/>
      <c r="Q549" s="2438"/>
      <c r="R549" s="2438"/>
      <c r="S549" s="2438"/>
      <c r="T549" s="2438"/>
      <c r="U549" s="2438"/>
      <c r="V549" s="2438"/>
      <c r="W549" s="2438"/>
      <c r="X549" s="2438"/>
      <c r="Y549" s="2438"/>
      <c r="Z549" s="2438"/>
      <c r="AA549" s="2438"/>
      <c r="AB549" s="2438"/>
      <c r="AC549" s="2438"/>
      <c r="AD549" s="2438"/>
      <c r="AE549" s="2438"/>
      <c r="AF549" s="2438"/>
      <c r="AG549" s="2438"/>
      <c r="AH549" s="2438"/>
      <c r="AI549" s="2438"/>
      <c r="AJ549" s="2438"/>
      <c r="AK549" s="243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1">
        <f>Application!AJ992</f>
        <v>62097600</v>
      </c>
      <c r="AQ550" s="2561"/>
      <c r="AR550" s="2561"/>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8">
        <f>'Sources and Uses Budget'!S107+'Sources and Uses Budget'!T107</f>
        <v>27160486</v>
      </c>
      <c r="AG551" s="2418"/>
      <c r="AH551" s="2418"/>
      <c r="AI551" s="2418"/>
      <c r="AJ551" s="241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6">
        <f>IFERROR(AP559,0)</f>
        <v>93146400</v>
      </c>
      <c r="AG552" s="2566"/>
      <c r="AH552" s="2566"/>
      <c r="AI552" s="2566"/>
      <c r="AJ552" s="2566"/>
      <c r="AK552" s="596"/>
      <c r="AL552" s="596"/>
      <c r="AM552" s="596"/>
      <c r="AN552" s="598"/>
      <c r="AP552" s="2561">
        <f>Application!AJ1045</f>
        <v>6209760</v>
      </c>
      <c r="AQ552" s="2561"/>
      <c r="AR552" s="2561"/>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7">
        <f>IFERROR(ROUNDDOWN(IF(C544="YES",((1-(AF551/AF552))*2),(1-(AF551/AF552))),2),0)</f>
        <v>0.7</v>
      </c>
      <c r="AG553" s="2567"/>
      <c r="AH553" s="2567"/>
      <c r="AI553" s="2567"/>
      <c r="AJ553" s="2567"/>
      <c r="AK553" s="596"/>
      <c r="AL553" s="596"/>
      <c r="AM553" s="596"/>
      <c r="AN553" s="598"/>
      <c r="AP553" s="2564">
        <f>Application!AJ1049</f>
        <v>12419520</v>
      </c>
      <c r="AQ553" s="2564"/>
      <c r="AR553" s="256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0">
        <f>IF(((AP552+AP553)/AP550)&gt;0.8,0.8,((AP552+AP553)/AP550))</f>
        <v>0.3</v>
      </c>
      <c r="AQ554" s="2560"/>
      <c r="AR554" s="2560"/>
      <c r="AS554" s="551" t="s">
        <v>2173</v>
      </c>
    </row>
    <row r="555" spans="1:49" s="551" customFormat="1" ht="12.75" customHeight="1">
      <c r="A555" s="625"/>
      <c r="B555" s="2497" t="s">
        <v>2033</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6"/>
      <c r="AL555" s="596"/>
      <c r="AM555" s="596"/>
      <c r="AN555" s="598"/>
    </row>
    <row r="556" spans="1:49" s="551" customFormat="1" ht="12.75" customHeight="1">
      <c r="A556" s="625"/>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6"/>
      <c r="AL556" s="596"/>
      <c r="AM556" s="596"/>
      <c r="AN556" s="598"/>
      <c r="AP556" s="2561">
        <f>AP557-AP552-AP553</f>
        <v>74517120</v>
      </c>
      <c r="AQ556" s="2470"/>
      <c r="AR556" s="2470"/>
      <c r="AS556" s="551" t="s">
        <v>2175</v>
      </c>
    </row>
    <row r="557" spans="1:49" s="551" customFormat="1" ht="12.75" customHeight="1">
      <c r="A557" s="625"/>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6"/>
      <c r="AL557" s="596"/>
      <c r="AM557" s="596"/>
      <c r="AN557" s="598"/>
      <c r="AP557" s="2561">
        <f>Application!AJ1053</f>
        <v>93146400</v>
      </c>
      <c r="AQ557" s="2561"/>
      <c r="AR557" s="2561"/>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6">
        <f>IFERROR(IF(AND(C541="N/A",C544="N/A"),0,IF(AF553=0,0,IF((AF553*100)&gt;12,12,(AF553*100)))),0)</f>
        <v>12</v>
      </c>
      <c r="AL559" s="2506"/>
      <c r="AM559" s="2507"/>
      <c r="AN559" s="598"/>
      <c r="AP559" s="2578">
        <f>AP556+(AP550*AP554)</f>
        <v>93146400</v>
      </c>
      <c r="AQ559" s="2579"/>
      <c r="AR559" s="258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5" t="s">
        <v>1314</v>
      </c>
      <c r="AF562" s="2345"/>
      <c r="AG562" s="2345"/>
      <c r="AH562" s="2345"/>
      <c r="AI562" s="2345"/>
      <c r="AJ562" s="2345"/>
      <c r="AK562" s="234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5" t="s">
        <v>2024</v>
      </c>
      <c r="C564" s="2435"/>
      <c r="D564" s="2435"/>
      <c r="E564" s="2435"/>
      <c r="F564" s="2435"/>
      <c r="G564" s="2435"/>
      <c r="H564" s="2435"/>
      <c r="I564" s="2435"/>
      <c r="J564" s="2435"/>
      <c r="K564" s="2435"/>
      <c r="L564" s="2435"/>
      <c r="M564" s="2435"/>
      <c r="N564" s="2435"/>
      <c r="O564" s="2435"/>
      <c r="P564" s="2435"/>
      <c r="Q564" s="2435"/>
      <c r="R564" s="2435"/>
      <c r="S564" s="2435"/>
      <c r="T564" s="2435"/>
      <c r="U564" s="2435"/>
      <c r="V564" s="2435"/>
      <c r="W564" s="2435"/>
      <c r="X564" s="2435"/>
      <c r="Y564" s="2435"/>
      <c r="Z564" s="2435"/>
      <c r="AA564" s="2435"/>
      <c r="AB564" s="2435"/>
      <c r="AC564" s="2435"/>
      <c r="AD564" s="2435"/>
      <c r="AE564" s="2435"/>
      <c r="AF564" s="2435"/>
      <c r="AG564" s="2435"/>
      <c r="AH564" s="2435"/>
      <c r="AI564" s="2435"/>
      <c r="AJ564" s="2435"/>
      <c r="AK564" s="643"/>
      <c r="AL564" s="574"/>
      <c r="AM564" s="604"/>
      <c r="AN564" s="598"/>
    </row>
    <row r="565" spans="1:42" s="551" customFormat="1" ht="12.75" customHeight="1">
      <c r="A565" s="604"/>
      <c r="B565" s="2435"/>
      <c r="C565" s="2435"/>
      <c r="D565" s="2435"/>
      <c r="E565" s="2435"/>
      <c r="F565" s="2435"/>
      <c r="G565" s="2435"/>
      <c r="H565" s="2435"/>
      <c r="I565" s="2435"/>
      <c r="J565" s="2435"/>
      <c r="K565" s="2435"/>
      <c r="L565" s="2435"/>
      <c r="M565" s="2435"/>
      <c r="N565" s="2435"/>
      <c r="O565" s="2435"/>
      <c r="P565" s="2435"/>
      <c r="Q565" s="2435"/>
      <c r="R565" s="2435"/>
      <c r="S565" s="2435"/>
      <c r="T565" s="2435"/>
      <c r="U565" s="2435"/>
      <c r="V565" s="2435"/>
      <c r="W565" s="2435"/>
      <c r="X565" s="2435"/>
      <c r="Y565" s="2435"/>
      <c r="Z565" s="2435"/>
      <c r="AA565" s="2435"/>
      <c r="AB565" s="2435"/>
      <c r="AC565" s="2435"/>
      <c r="AD565" s="2435"/>
      <c r="AE565" s="2435"/>
      <c r="AF565" s="2435"/>
      <c r="AG565" s="2435"/>
      <c r="AH565" s="2435"/>
      <c r="AI565" s="2435"/>
      <c r="AJ565" s="2435"/>
      <c r="AK565" s="643"/>
      <c r="AL565" s="574"/>
      <c r="AM565" s="604"/>
      <c r="AN565" s="598"/>
    </row>
    <row r="566" spans="1:42" s="551" customFormat="1" ht="12.75" customHeight="1">
      <c r="A566" s="604"/>
      <c r="B566" s="2435"/>
      <c r="C566" s="2435"/>
      <c r="D566" s="2435"/>
      <c r="E566" s="2435"/>
      <c r="F566" s="2435"/>
      <c r="G566" s="2435"/>
      <c r="H566" s="2435"/>
      <c r="I566" s="2435"/>
      <c r="J566" s="2435"/>
      <c r="K566" s="2435"/>
      <c r="L566" s="2435"/>
      <c r="M566" s="2435"/>
      <c r="N566" s="2435"/>
      <c r="O566" s="2435"/>
      <c r="P566" s="2435"/>
      <c r="Q566" s="2435"/>
      <c r="R566" s="2435"/>
      <c r="S566" s="2435"/>
      <c r="T566" s="2435"/>
      <c r="U566" s="2435"/>
      <c r="V566" s="2435"/>
      <c r="W566" s="2435"/>
      <c r="X566" s="2435"/>
      <c r="Y566" s="2435"/>
      <c r="Z566" s="2435"/>
      <c r="AA566" s="2435"/>
      <c r="AB566" s="2435"/>
      <c r="AC566" s="2435"/>
      <c r="AD566" s="2435"/>
      <c r="AE566" s="2435"/>
      <c r="AF566" s="2435"/>
      <c r="AG566" s="2435"/>
      <c r="AH566" s="2435"/>
      <c r="AI566" s="2435"/>
      <c r="AJ566" s="2435"/>
      <c r="AK566" s="643"/>
      <c r="AL566" s="574"/>
      <c r="AM566" s="604"/>
      <c r="AN566" s="598"/>
    </row>
    <row r="567" spans="1:42" s="551" customFormat="1" ht="12.75" customHeight="1">
      <c r="A567" s="604"/>
      <c r="B567" s="2435"/>
      <c r="C567" s="2435"/>
      <c r="D567" s="2435"/>
      <c r="E567" s="2435"/>
      <c r="F567" s="2435"/>
      <c r="G567" s="2435"/>
      <c r="H567" s="2435"/>
      <c r="I567" s="2435"/>
      <c r="J567" s="2435"/>
      <c r="K567" s="2435"/>
      <c r="L567" s="2435"/>
      <c r="M567" s="2435"/>
      <c r="N567" s="2435"/>
      <c r="O567" s="2435"/>
      <c r="P567" s="2435"/>
      <c r="Q567" s="2435"/>
      <c r="R567" s="2435"/>
      <c r="S567" s="2435"/>
      <c r="T567" s="2435"/>
      <c r="U567" s="2435"/>
      <c r="V567" s="2435"/>
      <c r="W567" s="2435"/>
      <c r="X567" s="2435"/>
      <c r="Y567" s="2435"/>
      <c r="Z567" s="2435"/>
      <c r="AA567" s="2435"/>
      <c r="AB567" s="2435"/>
      <c r="AC567" s="2435"/>
      <c r="AD567" s="2435"/>
      <c r="AE567" s="2435"/>
      <c r="AF567" s="2435"/>
      <c r="AG567" s="2435"/>
      <c r="AH567" s="2435"/>
      <c r="AI567" s="2435"/>
      <c r="AJ567" s="2435"/>
      <c r="AK567" s="643"/>
      <c r="AL567" s="574"/>
      <c r="AM567" s="604"/>
      <c r="AN567" s="598"/>
    </row>
    <row r="568" spans="1:42" s="551" customFormat="1" ht="12.75" customHeight="1">
      <c r="A568" s="604"/>
      <c r="B568" s="2435"/>
      <c r="C568" s="2435"/>
      <c r="D568" s="2435"/>
      <c r="E568" s="2435"/>
      <c r="F568" s="2435"/>
      <c r="G568" s="2435"/>
      <c r="H568" s="2435"/>
      <c r="I568" s="2435"/>
      <c r="J568" s="2435"/>
      <c r="K568" s="2435"/>
      <c r="L568" s="2435"/>
      <c r="M568" s="2435"/>
      <c r="N568" s="2435"/>
      <c r="O568" s="2435"/>
      <c r="P568" s="2435"/>
      <c r="Q568" s="2435"/>
      <c r="R568" s="2435"/>
      <c r="S568" s="2435"/>
      <c r="T568" s="2435"/>
      <c r="U568" s="2435"/>
      <c r="V568" s="2435"/>
      <c r="W568" s="2435"/>
      <c r="X568" s="2435"/>
      <c r="Y568" s="2435"/>
      <c r="Z568" s="2435"/>
      <c r="AA568" s="2435"/>
      <c r="AB568" s="2435"/>
      <c r="AC568" s="2435"/>
      <c r="AD568" s="2435"/>
      <c r="AE568" s="2435"/>
      <c r="AF568" s="2435"/>
      <c r="AG568" s="2435"/>
      <c r="AH568" s="2435"/>
      <c r="AI568" s="2435"/>
      <c r="AJ568" s="2435"/>
      <c r="AK568" s="643"/>
      <c r="AL568" s="574"/>
      <c r="AM568" s="604"/>
      <c r="AN568" s="598"/>
    </row>
    <row r="569" spans="1:42" s="551" customFormat="1" ht="12.75" customHeight="1">
      <c r="A569" s="604"/>
      <c r="B569" s="2435"/>
      <c r="C569" s="2435"/>
      <c r="D569" s="2435"/>
      <c r="E569" s="2435"/>
      <c r="F569" s="2435"/>
      <c r="G569" s="2435"/>
      <c r="H569" s="2435"/>
      <c r="I569" s="2435"/>
      <c r="J569" s="2435"/>
      <c r="K569" s="2435"/>
      <c r="L569" s="2435"/>
      <c r="M569" s="2435"/>
      <c r="N569" s="2435"/>
      <c r="O569" s="2435"/>
      <c r="P569" s="2435"/>
      <c r="Q569" s="2435"/>
      <c r="R569" s="2435"/>
      <c r="S569" s="2435"/>
      <c r="T569" s="2435"/>
      <c r="U569" s="2435"/>
      <c r="V569" s="2435"/>
      <c r="W569" s="2435"/>
      <c r="X569" s="2435"/>
      <c r="Y569" s="2435"/>
      <c r="Z569" s="2435"/>
      <c r="AA569" s="2435"/>
      <c r="AB569" s="2435"/>
      <c r="AC569" s="2435"/>
      <c r="AD569" s="2435"/>
      <c r="AE569" s="2435"/>
      <c r="AF569" s="2435"/>
      <c r="AG569" s="2435"/>
      <c r="AH569" s="2435"/>
      <c r="AI569" s="2435"/>
      <c r="AJ569" s="2435"/>
      <c r="AK569" s="643"/>
      <c r="AL569" s="574"/>
      <c r="AM569" s="604"/>
      <c r="AN569" s="598"/>
    </row>
    <row r="570" spans="1:42" s="551" customFormat="1" ht="12.75" customHeight="1">
      <c r="A570" s="604"/>
      <c r="B570" s="2435"/>
      <c r="C570" s="2435"/>
      <c r="D570" s="2435"/>
      <c r="E570" s="2435"/>
      <c r="F570" s="2435"/>
      <c r="G570" s="2435"/>
      <c r="H570" s="2435"/>
      <c r="I570" s="2435"/>
      <c r="J570" s="2435"/>
      <c r="K570" s="2435"/>
      <c r="L570" s="2435"/>
      <c r="M570" s="2435"/>
      <c r="N570" s="2435"/>
      <c r="O570" s="2435"/>
      <c r="P570" s="2435"/>
      <c r="Q570" s="2435"/>
      <c r="R570" s="2435"/>
      <c r="S570" s="2435"/>
      <c r="T570" s="2435"/>
      <c r="U570" s="2435"/>
      <c r="V570" s="2435"/>
      <c r="W570" s="2435"/>
      <c r="X570" s="2435"/>
      <c r="Y570" s="2435"/>
      <c r="Z570" s="2435"/>
      <c r="AA570" s="2435"/>
      <c r="AB570" s="2435"/>
      <c r="AC570" s="2435"/>
      <c r="AD570" s="2435"/>
      <c r="AE570" s="2435"/>
      <c r="AF570" s="2435"/>
      <c r="AG570" s="2435"/>
      <c r="AH570" s="2435"/>
      <c r="AI570" s="2435"/>
      <c r="AJ570" s="2435"/>
      <c r="AK570" s="643"/>
      <c r="AL570" s="574"/>
      <c r="AM570" s="604"/>
      <c r="AN570" s="598"/>
    </row>
    <row r="571" spans="1:42" ht="12.75" customHeight="1">
      <c r="A571" s="604"/>
      <c r="B571" s="2435"/>
      <c r="C571" s="2435"/>
      <c r="D571" s="2435"/>
      <c r="E571" s="2435"/>
      <c r="F571" s="2435"/>
      <c r="G571" s="2435"/>
      <c r="H571" s="2435"/>
      <c r="I571" s="2435"/>
      <c r="J571" s="2435"/>
      <c r="K571" s="2435"/>
      <c r="L571" s="2435"/>
      <c r="M571" s="2435"/>
      <c r="N571" s="2435"/>
      <c r="O571" s="2435"/>
      <c r="P571" s="2435"/>
      <c r="Q571" s="2435"/>
      <c r="R571" s="2435"/>
      <c r="S571" s="2435"/>
      <c r="T571" s="2435"/>
      <c r="U571" s="2435"/>
      <c r="V571" s="2435"/>
      <c r="W571" s="2435"/>
      <c r="X571" s="2435"/>
      <c r="Y571" s="2435"/>
      <c r="Z571" s="2435"/>
      <c r="AA571" s="2435"/>
      <c r="AB571" s="2435"/>
      <c r="AC571" s="2435"/>
      <c r="AD571" s="2435"/>
      <c r="AE571" s="2435"/>
      <c r="AF571" s="2435"/>
      <c r="AG571" s="2435"/>
      <c r="AH571" s="2435"/>
      <c r="AI571" s="2435"/>
      <c r="AJ571" s="2435"/>
      <c r="AK571" s="643"/>
      <c r="AL571" s="574"/>
      <c r="AM571" s="604"/>
    </row>
    <row r="572" spans="1:42" s="551" customFormat="1" ht="12.75" customHeight="1">
      <c r="B572" s="2435"/>
      <c r="C572" s="2435"/>
      <c r="D572" s="2435"/>
      <c r="E572" s="2435"/>
      <c r="F572" s="2435"/>
      <c r="G572" s="2435"/>
      <c r="H572" s="2435"/>
      <c r="I572" s="2435"/>
      <c r="J572" s="2435"/>
      <c r="K572" s="2435"/>
      <c r="L572" s="2435"/>
      <c r="M572" s="2435"/>
      <c r="N572" s="2435"/>
      <c r="O572" s="2435"/>
      <c r="P572" s="2435"/>
      <c r="Q572" s="2435"/>
      <c r="R572" s="2435"/>
      <c r="S572" s="2435"/>
      <c r="T572" s="2435"/>
      <c r="U572" s="2435"/>
      <c r="V572" s="2435"/>
      <c r="W572" s="2435"/>
      <c r="X572" s="2435"/>
      <c r="Y572" s="2435"/>
      <c r="Z572" s="2435"/>
      <c r="AA572" s="2435"/>
      <c r="AB572" s="2435"/>
      <c r="AC572" s="2435"/>
      <c r="AD572" s="2435"/>
      <c r="AE572" s="2435"/>
      <c r="AF572" s="2435"/>
      <c r="AG572" s="2435"/>
      <c r="AH572" s="2435"/>
      <c r="AI572" s="2435"/>
      <c r="AJ572" s="243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0" t="s">
        <v>1338</v>
      </c>
      <c r="AG578" s="2380"/>
      <c r="AH578" s="2380"/>
      <c r="AI578" s="2380"/>
      <c r="AJ578" s="2380"/>
      <c r="AK578" s="2380"/>
      <c r="AL578" s="238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0" t="s">
        <v>1396</v>
      </c>
      <c r="AG585" s="2380"/>
      <c r="AH585" s="2380"/>
      <c r="AI585" s="2380"/>
      <c r="AJ585" s="2380"/>
      <c r="AK585" s="2380"/>
      <c r="AL585" s="238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0" t="s">
        <v>1378</v>
      </c>
      <c r="AG591" s="2380"/>
      <c r="AH591" s="2380"/>
      <c r="AI591" s="2380"/>
      <c r="AJ591" s="2380"/>
      <c r="AK591" s="2380"/>
      <c r="AL591" s="238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0" t="s">
        <v>1399</v>
      </c>
      <c r="AG597" s="2380"/>
      <c r="AH597" s="2380"/>
      <c r="AI597" s="2380"/>
      <c r="AJ597" s="2380"/>
      <c r="AK597" s="2380"/>
      <c r="AL597" s="238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6" t="s">
        <v>1184</v>
      </c>
      <c r="P601" s="2466"/>
      <c r="Q601" s="2466"/>
      <c r="R601" s="2466"/>
      <c r="S601" s="2466"/>
      <c r="T601" s="2466"/>
      <c r="U601" s="2466"/>
      <c r="V601" s="2466"/>
      <c r="W601" s="2466"/>
      <c r="X601" s="2466"/>
      <c r="Y601" s="2466"/>
      <c r="Z601" s="2466"/>
      <c r="AA601" s="2466"/>
      <c r="AB601" s="246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0" t="s">
        <v>1352</v>
      </c>
      <c r="AG603" s="2380"/>
      <c r="AH603" s="2380"/>
      <c r="AI603" s="2380"/>
      <c r="AJ603" s="2380"/>
      <c r="AK603" s="2380"/>
      <c r="AL603" s="238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4" t="s">
        <v>687</v>
      </c>
      <c r="I606" s="2464"/>
      <c r="J606" s="937"/>
      <c r="K606" s="937"/>
      <c r="L606" s="937"/>
      <c r="N606" s="22"/>
      <c r="O606" s="22"/>
      <c r="P606" s="22"/>
      <c r="Q606" s="1153" t="s">
        <v>2178</v>
      </c>
      <c r="R606" s="2467"/>
      <c r="S606" s="2467"/>
      <c r="T606" s="2467"/>
      <c r="U606" s="2467"/>
      <c r="V606" s="2467"/>
      <c r="W606" s="246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8"/>
      <c r="Z608" s="2468"/>
      <c r="AA608" s="2468"/>
      <c r="AB608" s="2468"/>
      <c r="AC608" s="2468"/>
      <c r="AD608" s="2468"/>
      <c r="AE608" s="2468"/>
      <c r="AF608" s="2468"/>
      <c r="AG608" s="2468"/>
      <c r="AH608" s="2468"/>
      <c r="AI608" s="2468"/>
      <c r="AJ608" s="2468"/>
      <c r="AK608" s="2468"/>
      <c r="AL608" s="2468"/>
      <c r="AM608" s="246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5" t="s">
        <v>591</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8" t="s">
        <v>591</v>
      </c>
      <c r="C616" s="2408"/>
      <c r="D616" s="643"/>
      <c r="E616" s="2435" t="s">
        <v>1403</v>
      </c>
      <c r="F616" s="2435"/>
      <c r="G616" s="2435"/>
      <c r="H616" s="2435"/>
      <c r="I616" s="2435"/>
      <c r="J616" s="2435"/>
      <c r="K616" s="2435"/>
      <c r="L616" s="2435"/>
      <c r="M616" s="2435"/>
      <c r="N616" s="2435"/>
      <c r="O616" s="2435"/>
      <c r="P616" s="2435"/>
      <c r="Q616" s="2435"/>
      <c r="R616" s="2435"/>
      <c r="S616" s="2435"/>
      <c r="T616" s="2435"/>
      <c r="U616" s="2435"/>
      <c r="V616" s="2435"/>
      <c r="W616" s="2435"/>
      <c r="X616" s="2435"/>
      <c r="Y616" s="2435"/>
      <c r="Z616" s="2435"/>
      <c r="AA616" s="2435"/>
      <c r="AB616" s="2435"/>
      <c r="AC616" s="2435"/>
      <c r="AD616" s="2435"/>
      <c r="AE616" s="2435"/>
      <c r="AF616" s="2435"/>
      <c r="AG616" s="2435"/>
      <c r="AH616" s="643"/>
      <c r="AI616" s="643"/>
      <c r="AJ616" s="643"/>
      <c r="AK616" s="643"/>
      <c r="AL616" s="643"/>
      <c r="AN616" s="598"/>
    </row>
    <row r="617" spans="1:42" s="551" customFormat="1" ht="12.75" customHeight="1">
      <c r="B617" s="537"/>
      <c r="C617" s="934"/>
      <c r="D617" s="643"/>
      <c r="E617" s="2435"/>
      <c r="F617" s="2435"/>
      <c r="G617" s="2435"/>
      <c r="H617" s="2435"/>
      <c r="I617" s="2435"/>
      <c r="J617" s="2435"/>
      <c r="K617" s="2435"/>
      <c r="L617" s="2435"/>
      <c r="M617" s="2435"/>
      <c r="N617" s="2435"/>
      <c r="O617" s="2435"/>
      <c r="P617" s="2435"/>
      <c r="Q617" s="2435"/>
      <c r="R617" s="2435"/>
      <c r="S617" s="2435"/>
      <c r="T617" s="2435"/>
      <c r="U617" s="2435"/>
      <c r="V617" s="2435"/>
      <c r="W617" s="2435"/>
      <c r="X617" s="2435"/>
      <c r="Y617" s="2435"/>
      <c r="Z617" s="2435"/>
      <c r="AA617" s="2435"/>
      <c r="AB617" s="2435"/>
      <c r="AC617" s="2435"/>
      <c r="AD617" s="2435"/>
      <c r="AE617" s="2435"/>
      <c r="AF617" s="2435"/>
      <c r="AG617" s="2435"/>
      <c r="AH617" s="643"/>
      <c r="AI617" s="643"/>
      <c r="AJ617" s="643"/>
      <c r="AK617" s="643"/>
      <c r="AL617" s="643"/>
      <c r="AN617" s="598"/>
    </row>
    <row r="618" spans="1:42" s="551" customFormat="1" ht="12.75" customHeight="1">
      <c r="B618" s="537"/>
      <c r="C618" s="934"/>
      <c r="D618" s="643"/>
      <c r="E618" s="2435"/>
      <c r="F618" s="2435"/>
      <c r="G618" s="2435"/>
      <c r="H618" s="2435"/>
      <c r="I618" s="2435"/>
      <c r="J618" s="2435"/>
      <c r="K618" s="2435"/>
      <c r="L618" s="2435"/>
      <c r="M618" s="2435"/>
      <c r="N618" s="2435"/>
      <c r="O618" s="2435"/>
      <c r="P618" s="2435"/>
      <c r="Q618" s="2435"/>
      <c r="R618" s="2435"/>
      <c r="S618" s="2435"/>
      <c r="T618" s="2435"/>
      <c r="U618" s="2435"/>
      <c r="V618" s="2435"/>
      <c r="W618" s="2435"/>
      <c r="X618" s="2435"/>
      <c r="Y618" s="2435"/>
      <c r="Z618" s="2435"/>
      <c r="AA618" s="2435"/>
      <c r="AB618" s="2435"/>
      <c r="AC618" s="2435"/>
      <c r="AD618" s="2435"/>
      <c r="AE618" s="2435"/>
      <c r="AF618" s="2435"/>
      <c r="AG618" s="2435"/>
      <c r="AH618" s="643"/>
      <c r="AI618" s="643"/>
      <c r="AJ618" s="643"/>
      <c r="AK618" s="643"/>
      <c r="AL618" s="643"/>
      <c r="AN618" s="598"/>
    </row>
    <row r="619" spans="1:42" s="551" customFormat="1" ht="12.75" customHeight="1">
      <c r="B619" s="537"/>
      <c r="C619" s="934"/>
      <c r="D619" s="643"/>
      <c r="E619" s="2435"/>
      <c r="F619" s="2435"/>
      <c r="G619" s="2435"/>
      <c r="H619" s="2435"/>
      <c r="I619" s="2435"/>
      <c r="J619" s="2435"/>
      <c r="K619" s="2435"/>
      <c r="L619" s="2435"/>
      <c r="M619" s="2435"/>
      <c r="N619" s="2435"/>
      <c r="O619" s="2435"/>
      <c r="P619" s="2435"/>
      <c r="Q619" s="2435"/>
      <c r="R619" s="2435"/>
      <c r="S619" s="2435"/>
      <c r="T619" s="2435"/>
      <c r="U619" s="2435"/>
      <c r="V619" s="2435"/>
      <c r="W619" s="2435"/>
      <c r="X619" s="2435"/>
      <c r="Y619" s="2435"/>
      <c r="Z619" s="2435"/>
      <c r="AA619" s="2435"/>
      <c r="AB619" s="2435"/>
      <c r="AC619" s="2435"/>
      <c r="AD619" s="2435"/>
      <c r="AE619" s="2435"/>
      <c r="AF619" s="2435"/>
      <c r="AG619" s="243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5">
        <f>VLOOKUP($H$606,$AO$586:$AP$591,2,FALSE)+IF(R606=AO594,0,VLOOKUP($I$614,$AO$613:$AP$615,2,FALSE))</f>
        <v>7</v>
      </c>
      <c r="AK621" s="241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3" t="s">
        <v>1694</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540"/>
      <c r="AF625" s="2380" t="s">
        <v>1352</v>
      </c>
      <c r="AG625" s="2380"/>
      <c r="AH625" s="2380"/>
      <c r="AI625" s="2380"/>
      <c r="AJ625" s="2380"/>
      <c r="AK625" s="2380"/>
      <c r="AL625" s="2380"/>
      <c r="AM625" s="551"/>
      <c r="AN625" s="679"/>
    </row>
    <row r="626" spans="1:42" s="551" customFormat="1" ht="12.75" customHeight="1">
      <c r="A626" s="680"/>
      <c r="B626" s="537"/>
      <c r="C626" s="934"/>
      <c r="D626" s="664"/>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537"/>
      <c r="AF626" s="537"/>
      <c r="AG626" s="537"/>
      <c r="AH626" s="537"/>
      <c r="AI626" s="537"/>
      <c r="AJ626" s="537"/>
      <c r="AK626" s="537"/>
      <c r="AL626" s="537"/>
      <c r="AN626" s="598"/>
    </row>
    <row r="627" spans="1:42" s="551" customFormat="1" ht="12.75" customHeight="1">
      <c r="B627" s="537"/>
      <c r="C627" s="932"/>
      <c r="D627" s="664"/>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537"/>
      <c r="AF627" s="537"/>
      <c r="AG627" s="537"/>
      <c r="AH627" s="537"/>
      <c r="AI627" s="537"/>
      <c r="AJ627" s="537"/>
      <c r="AK627" s="537"/>
      <c r="AL627" s="537"/>
      <c r="AN627" s="598"/>
    </row>
    <row r="628" spans="1:42" s="551" customFormat="1" ht="12.75" customHeight="1">
      <c r="B628" s="537"/>
      <c r="C628" s="932"/>
      <c r="D628" s="664"/>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537"/>
      <c r="AF628" s="537"/>
      <c r="AG628" s="537"/>
      <c r="AH628" s="537"/>
      <c r="AI628" s="537"/>
      <c r="AJ628" s="537"/>
      <c r="AK628" s="537"/>
      <c r="AL628" s="537"/>
      <c r="AN628" s="598"/>
    </row>
    <row r="629" spans="1:42" s="551" customFormat="1" ht="12.75" customHeight="1">
      <c r="B629" s="537"/>
      <c r="C629" s="932"/>
      <c r="D629" s="664"/>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537"/>
      <c r="AF629" s="537"/>
      <c r="AG629" s="537"/>
      <c r="AH629" s="537"/>
      <c r="AI629" s="537"/>
      <c r="AJ629" s="537"/>
      <c r="AK629" s="537"/>
      <c r="AL629" s="537"/>
      <c r="AN629" s="598"/>
    </row>
    <row r="630" spans="1:42" s="551" customFormat="1" ht="12.75" customHeight="1">
      <c r="B630" s="537"/>
      <c r="C630" s="932"/>
      <c r="D630" s="664"/>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537"/>
      <c r="AF630" s="537"/>
      <c r="AG630" s="537"/>
      <c r="AH630" s="537"/>
      <c r="AI630" s="537"/>
      <c r="AJ630" s="537"/>
      <c r="AK630" s="537"/>
      <c r="AL630" s="537"/>
      <c r="AN630" s="598"/>
    </row>
    <row r="631" spans="1:42" s="551" customFormat="1" ht="12.75" customHeight="1">
      <c r="A631" s="638"/>
      <c r="B631" s="617"/>
      <c r="C631" s="941"/>
      <c r="D631" s="664"/>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617"/>
      <c r="AF631" s="617"/>
      <c r="AG631" s="617"/>
      <c r="AH631" s="617"/>
      <c r="AI631" s="617"/>
      <c r="AJ631" s="617"/>
      <c r="AK631" s="537"/>
      <c r="AL631" s="537"/>
      <c r="AN631" s="598"/>
    </row>
    <row r="632" spans="1:42" s="551" customFormat="1" ht="12.75" customHeight="1">
      <c r="B632" s="617"/>
      <c r="C632" s="941"/>
      <c r="D632" s="664"/>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8" t="s">
        <v>591</v>
      </c>
      <c r="Y634" s="240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0" t="s">
        <v>1408</v>
      </c>
      <c r="AG636" s="2380"/>
      <c r="AH636" s="2380"/>
      <c r="AI636" s="2380"/>
      <c r="AJ636" s="2380"/>
      <c r="AK636" s="2380"/>
      <c r="AL636" s="238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4" t="s">
        <v>687</v>
      </c>
      <c r="I638" s="246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5">
        <f>VLOOKUP($H$638,$AO$605:$AP$607,2,FALSE)</f>
        <v>3</v>
      </c>
      <c r="AK640" s="241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5" t="s">
        <v>2099</v>
      </c>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37"/>
      <c r="AF644" s="2380" t="s">
        <v>1352</v>
      </c>
      <c r="AG644" s="2380"/>
      <c r="AH644" s="2380"/>
      <c r="AI644" s="2380"/>
      <c r="AJ644" s="2380"/>
      <c r="AK644" s="2380"/>
      <c r="AL644" s="2380"/>
      <c r="AN644" s="598"/>
    </row>
    <row r="645" spans="1:42" s="551" customFormat="1" ht="12.75" customHeight="1">
      <c r="B645" s="537"/>
      <c r="C645" s="537"/>
      <c r="D645" s="664"/>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0" t="s">
        <v>1408</v>
      </c>
      <c r="AG647" s="2380"/>
      <c r="AH647" s="2380"/>
      <c r="AI647" s="2380"/>
      <c r="AJ647" s="2380"/>
      <c r="AK647" s="2380"/>
      <c r="AL647" s="238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4" t="s">
        <v>687</v>
      </c>
      <c r="I650" s="246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5">
        <f>VLOOKUP(H650,AT605:AU607,2,FALSE)</f>
        <v>3</v>
      </c>
      <c r="AK652" s="241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5" t="s">
        <v>1418</v>
      </c>
      <c r="F657" s="2435"/>
      <c r="G657" s="2435"/>
      <c r="H657" s="2435"/>
      <c r="I657" s="2435"/>
      <c r="J657" s="2435"/>
      <c r="K657" s="2435"/>
      <c r="L657" s="2435"/>
      <c r="M657" s="2435"/>
      <c r="N657" s="2435"/>
      <c r="O657" s="2435"/>
      <c r="P657" s="2435"/>
      <c r="Q657" s="2435"/>
      <c r="R657" s="2435"/>
      <c r="S657" s="2435"/>
      <c r="T657" s="2435"/>
      <c r="U657" s="2435"/>
      <c r="V657" s="2435"/>
      <c r="W657" s="2435"/>
      <c r="X657" s="2435"/>
      <c r="Y657" s="2435"/>
      <c r="Z657" s="2435"/>
      <c r="AA657" s="2435"/>
      <c r="AB657" s="2435"/>
      <c r="AC657" s="2435"/>
      <c r="AD657" s="537"/>
      <c r="AE657" s="537"/>
      <c r="AF657" s="2380" t="s">
        <v>1378</v>
      </c>
      <c r="AG657" s="2380"/>
      <c r="AH657" s="2380"/>
      <c r="AI657" s="2380"/>
      <c r="AJ657" s="2380"/>
      <c r="AK657" s="2380"/>
      <c r="AL657" s="2380"/>
      <c r="AN657" s="598"/>
    </row>
    <row r="658" spans="1:42" s="551" customFormat="1" ht="12.75" customHeight="1">
      <c r="B658" s="537"/>
      <c r="C658" s="540"/>
      <c r="D658" s="537"/>
      <c r="E658" s="2435"/>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37"/>
      <c r="AE658" s="537"/>
      <c r="AF658" s="537"/>
      <c r="AG658" s="537"/>
      <c r="AH658" s="537"/>
      <c r="AI658" s="537"/>
      <c r="AJ658" s="537"/>
      <c r="AK658" s="537"/>
      <c r="AL658" s="537"/>
      <c r="AN658" s="598"/>
    </row>
    <row r="659" spans="1:42" s="551" customFormat="1" ht="12.75" customHeight="1">
      <c r="B659" s="537"/>
      <c r="C659" s="540"/>
      <c r="D659" s="664"/>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5" t="s">
        <v>1419</v>
      </c>
      <c r="F661" s="2435"/>
      <c r="G661" s="2435"/>
      <c r="H661" s="2435"/>
      <c r="I661" s="2435"/>
      <c r="J661" s="2435"/>
      <c r="K661" s="2435"/>
      <c r="L661" s="2435"/>
      <c r="M661" s="2435"/>
      <c r="N661" s="2435"/>
      <c r="O661" s="2435"/>
      <c r="P661" s="2435"/>
      <c r="Q661" s="2435"/>
      <c r="R661" s="2435"/>
      <c r="S661" s="2435"/>
      <c r="T661" s="2435"/>
      <c r="U661" s="2435"/>
      <c r="V661" s="2435"/>
      <c r="W661" s="2435"/>
      <c r="X661" s="2435"/>
      <c r="Y661" s="2435"/>
      <c r="Z661" s="2435"/>
      <c r="AA661" s="2435"/>
      <c r="AB661" s="2435"/>
      <c r="AC661" s="2435"/>
      <c r="AD661" s="537"/>
      <c r="AE661" s="537"/>
      <c r="AF661" s="2380" t="s">
        <v>1399</v>
      </c>
      <c r="AG661" s="2380"/>
      <c r="AH661" s="2380"/>
      <c r="AI661" s="2380"/>
      <c r="AJ661" s="2380"/>
      <c r="AK661" s="2380"/>
      <c r="AL661" s="2380"/>
      <c r="AN661" s="598"/>
    </row>
    <row r="662" spans="1:42" s="551" customFormat="1" ht="12.75" customHeight="1">
      <c r="B662" s="537"/>
      <c r="C662" s="540"/>
      <c r="D662" s="537"/>
      <c r="E662" s="2435"/>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37"/>
      <c r="AE662" s="537"/>
      <c r="AF662" s="537"/>
      <c r="AG662" s="537"/>
      <c r="AH662" s="537"/>
      <c r="AI662" s="537"/>
      <c r="AJ662" s="537"/>
      <c r="AK662" s="537"/>
      <c r="AL662" s="537"/>
      <c r="AN662" s="598"/>
    </row>
    <row r="663" spans="1:42" s="551" customFormat="1" ht="15" customHeight="1">
      <c r="B663" s="537"/>
      <c r="C663" s="540"/>
      <c r="D663" s="664"/>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5" t="s">
        <v>1420</v>
      </c>
      <c r="F665" s="2435"/>
      <c r="G665" s="2435"/>
      <c r="H665" s="2435"/>
      <c r="I665" s="2435"/>
      <c r="J665" s="2435"/>
      <c r="K665" s="2435"/>
      <c r="L665" s="2435"/>
      <c r="M665" s="2435"/>
      <c r="N665" s="2435"/>
      <c r="O665" s="2435"/>
      <c r="P665" s="2435"/>
      <c r="Q665" s="2435"/>
      <c r="R665" s="2435"/>
      <c r="S665" s="2435"/>
      <c r="T665" s="2435"/>
      <c r="U665" s="2435"/>
      <c r="V665" s="2435"/>
      <c r="W665" s="2435"/>
      <c r="X665" s="2435"/>
      <c r="Y665" s="2435"/>
      <c r="Z665" s="2435"/>
      <c r="AA665" s="2435"/>
      <c r="AB665" s="2435"/>
      <c r="AC665" s="2435"/>
      <c r="AD665" s="537"/>
      <c r="AE665" s="537"/>
      <c r="AF665" s="2380" t="s">
        <v>1352</v>
      </c>
      <c r="AG665" s="2380"/>
      <c r="AH665" s="2380"/>
      <c r="AI665" s="2380"/>
      <c r="AJ665" s="2380"/>
      <c r="AK665" s="2380"/>
      <c r="AL665" s="2380"/>
      <c r="AN665" s="598"/>
    </row>
    <row r="666" spans="1:42" s="551" customFormat="1" ht="12.75" customHeight="1">
      <c r="B666" s="537"/>
      <c r="C666" s="932"/>
      <c r="D666" s="537"/>
      <c r="E666" s="2435"/>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37"/>
      <c r="AE666" s="2380"/>
      <c r="AF666" s="2380"/>
      <c r="AG666" s="2380"/>
      <c r="AH666" s="2380"/>
      <c r="AI666" s="2380"/>
      <c r="AJ666" s="2380"/>
      <c r="AK666" s="2380"/>
      <c r="AL666" s="595"/>
      <c r="AN666" s="598"/>
      <c r="AO666" s="551" t="s">
        <v>591</v>
      </c>
      <c r="AP666" s="674">
        <v>0</v>
      </c>
    </row>
    <row r="667" spans="1:42" s="551" customFormat="1" ht="12.75" customHeight="1">
      <c r="A667" s="680"/>
      <c r="B667" s="537"/>
      <c r="C667" s="537"/>
      <c r="D667" s="664"/>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5" t="s">
        <v>1421</v>
      </c>
      <c r="F669" s="2435"/>
      <c r="G669" s="2435"/>
      <c r="H669" s="2435"/>
      <c r="I669" s="2435"/>
      <c r="J669" s="2435"/>
      <c r="K669" s="2435"/>
      <c r="L669" s="2435"/>
      <c r="M669" s="2435"/>
      <c r="N669" s="2435"/>
      <c r="O669" s="2435"/>
      <c r="P669" s="2435"/>
      <c r="Q669" s="2435"/>
      <c r="R669" s="2435"/>
      <c r="S669" s="2435"/>
      <c r="T669" s="2435"/>
      <c r="U669" s="2435"/>
      <c r="V669" s="2435"/>
      <c r="W669" s="2435"/>
      <c r="X669" s="2435"/>
      <c r="Y669" s="2435"/>
      <c r="Z669" s="2435"/>
      <c r="AA669" s="2435"/>
      <c r="AB669" s="2435"/>
      <c r="AC669" s="2435"/>
      <c r="AD669" s="537"/>
      <c r="AE669" s="537"/>
      <c r="AF669" s="2380" t="s">
        <v>1399</v>
      </c>
      <c r="AG669" s="2380"/>
      <c r="AH669" s="2380"/>
      <c r="AI669" s="2380"/>
      <c r="AJ669" s="2380"/>
      <c r="AK669" s="2380"/>
      <c r="AL669" s="2380"/>
      <c r="AN669" s="598"/>
    </row>
    <row r="670" spans="1:42" s="551" customFormat="1" ht="12.75" customHeight="1">
      <c r="A670" s="671"/>
      <c r="B670" s="537"/>
      <c r="C670" s="948"/>
      <c r="D670" s="664"/>
      <c r="E670" s="2435"/>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5" t="s">
        <v>1422</v>
      </c>
      <c r="F673" s="2435"/>
      <c r="G673" s="2435"/>
      <c r="H673" s="2435"/>
      <c r="I673" s="2435"/>
      <c r="J673" s="2435"/>
      <c r="K673" s="2435"/>
      <c r="L673" s="2435"/>
      <c r="M673" s="2435"/>
      <c r="N673" s="2435"/>
      <c r="O673" s="2435"/>
      <c r="P673" s="2435"/>
      <c r="Q673" s="2435"/>
      <c r="R673" s="2435"/>
      <c r="S673" s="2435"/>
      <c r="T673" s="2435"/>
      <c r="U673" s="2435"/>
      <c r="V673" s="2435"/>
      <c r="W673" s="2435"/>
      <c r="X673" s="2435"/>
      <c r="Y673" s="2435"/>
      <c r="Z673" s="2435"/>
      <c r="AA673" s="2435"/>
      <c r="AB673" s="2435"/>
      <c r="AC673" s="2435"/>
      <c r="AD673" s="537"/>
      <c r="AE673" s="537"/>
      <c r="AF673" s="2380" t="s">
        <v>1352</v>
      </c>
      <c r="AG673" s="2380"/>
      <c r="AH673" s="2380"/>
      <c r="AI673" s="2380"/>
      <c r="AJ673" s="2380"/>
      <c r="AK673" s="2380"/>
      <c r="AL673" s="2380"/>
      <c r="AM673" s="597"/>
      <c r="AN673" s="598"/>
    </row>
    <row r="674" spans="1:42" s="551" customFormat="1" ht="12.75" customHeight="1">
      <c r="B674" s="537"/>
      <c r="C674" s="932"/>
      <c r="D674" s="664"/>
      <c r="E674" s="2435"/>
      <c r="F674" s="2435"/>
      <c r="G674" s="2435"/>
      <c r="H674" s="2435"/>
      <c r="I674" s="2435"/>
      <c r="J674" s="2435"/>
      <c r="K674" s="2435"/>
      <c r="L674" s="2435"/>
      <c r="M674" s="2435"/>
      <c r="N674" s="2435"/>
      <c r="O674" s="2435"/>
      <c r="P674" s="2435"/>
      <c r="Q674" s="2435"/>
      <c r="R674" s="2435"/>
      <c r="S674" s="2435"/>
      <c r="T674" s="2435"/>
      <c r="U674" s="2435"/>
      <c r="V674" s="2435"/>
      <c r="W674" s="2435"/>
      <c r="X674" s="2435"/>
      <c r="Y674" s="2435"/>
      <c r="Z674" s="2435"/>
      <c r="AA674" s="2435"/>
      <c r="AB674" s="2435"/>
      <c r="AC674" s="2435"/>
      <c r="AD674" s="537"/>
      <c r="AE674" s="537"/>
      <c r="AF674" s="537"/>
      <c r="AG674" s="537"/>
      <c r="AH674" s="537"/>
      <c r="AI674" s="537"/>
      <c r="AJ674" s="537"/>
      <c r="AK674" s="537"/>
      <c r="AL674" s="537"/>
      <c r="AM674" s="597"/>
      <c r="AN674" s="598"/>
    </row>
    <row r="675" spans="1:42" s="551" customFormat="1" ht="12.75" customHeight="1">
      <c r="B675" s="537"/>
      <c r="C675" s="932"/>
      <c r="D675" s="664"/>
      <c r="E675" s="2435"/>
      <c r="F675" s="2435"/>
      <c r="G675" s="2435"/>
      <c r="H675" s="2435"/>
      <c r="I675" s="2435"/>
      <c r="J675" s="2435"/>
      <c r="K675" s="2435"/>
      <c r="L675" s="2435"/>
      <c r="M675" s="2435"/>
      <c r="N675" s="2435"/>
      <c r="O675" s="2435"/>
      <c r="P675" s="2435"/>
      <c r="Q675" s="2435"/>
      <c r="R675" s="2435"/>
      <c r="S675" s="2435"/>
      <c r="T675" s="2435"/>
      <c r="U675" s="2435"/>
      <c r="V675" s="2435"/>
      <c r="W675" s="2435"/>
      <c r="X675" s="2435"/>
      <c r="Y675" s="2435"/>
      <c r="Z675" s="2435"/>
      <c r="AA675" s="2435"/>
      <c r="AB675" s="2435"/>
      <c r="AC675" s="243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5" t="s">
        <v>1423</v>
      </c>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537"/>
      <c r="AE677" s="537"/>
      <c r="AF677" s="2380" t="s">
        <v>1408</v>
      </c>
      <c r="AG677" s="2380"/>
      <c r="AH677" s="2380"/>
      <c r="AI677" s="2380"/>
      <c r="AJ677" s="2380"/>
      <c r="AK677" s="2380"/>
      <c r="AL677" s="2380"/>
      <c r="AM677" s="597"/>
      <c r="AN677" s="598"/>
    </row>
    <row r="678" spans="1:42" s="551" customFormat="1" ht="12.75" customHeight="1">
      <c r="A678" s="680"/>
      <c r="B678" s="537"/>
      <c r="C678" s="932"/>
      <c r="D678" s="664"/>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5"/>
      <c r="F679" s="2435"/>
      <c r="G679" s="2435"/>
      <c r="H679" s="2435"/>
      <c r="I679" s="2435"/>
      <c r="J679" s="2435"/>
      <c r="K679" s="2435"/>
      <c r="L679" s="2435"/>
      <c r="M679" s="2435"/>
      <c r="N679" s="2435"/>
      <c r="O679" s="2435"/>
      <c r="P679" s="2435"/>
      <c r="Q679" s="2435"/>
      <c r="R679" s="2435"/>
      <c r="S679" s="2435"/>
      <c r="T679" s="2435"/>
      <c r="U679" s="2435"/>
      <c r="V679" s="2435"/>
      <c r="W679" s="2435"/>
      <c r="X679" s="2435"/>
      <c r="Y679" s="2435"/>
      <c r="Z679" s="2435"/>
      <c r="AA679" s="2435"/>
      <c r="AB679" s="2435"/>
      <c r="AC679" s="243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5" t="s">
        <v>1424</v>
      </c>
      <c r="F681" s="2435"/>
      <c r="G681" s="2435"/>
      <c r="H681" s="2435"/>
      <c r="I681" s="2435"/>
      <c r="J681" s="2435"/>
      <c r="K681" s="2435"/>
      <c r="L681" s="2435"/>
      <c r="M681" s="2435"/>
      <c r="N681" s="2435"/>
      <c r="O681" s="2435"/>
      <c r="P681" s="2435"/>
      <c r="Q681" s="2435"/>
      <c r="R681" s="2435"/>
      <c r="S681" s="2435"/>
      <c r="T681" s="2435"/>
      <c r="U681" s="2435"/>
      <c r="V681" s="2435"/>
      <c r="W681" s="2435"/>
      <c r="X681" s="2435"/>
      <c r="Y681" s="2435"/>
      <c r="Z681" s="2435"/>
      <c r="AA681" s="2435"/>
      <c r="AB681" s="2435"/>
      <c r="AC681" s="2435"/>
      <c r="AD681" s="537"/>
      <c r="AE681" s="537"/>
      <c r="AF681" s="2380" t="s">
        <v>1425</v>
      </c>
      <c r="AG681" s="2380"/>
      <c r="AH681" s="2380"/>
      <c r="AI681" s="2380"/>
      <c r="AJ681" s="2380"/>
      <c r="AK681" s="2380"/>
      <c r="AL681" s="2380"/>
      <c r="AM681" s="597"/>
      <c r="AN681" s="598"/>
      <c r="AO681" s="612" t="s">
        <v>687</v>
      </c>
      <c r="AP681" s="551">
        <v>3</v>
      </c>
    </row>
    <row r="682" spans="1:42" s="551" customFormat="1" ht="12.75" customHeight="1">
      <c r="A682" s="680"/>
      <c r="B682" s="537"/>
      <c r="C682" s="932"/>
      <c r="D682" s="664"/>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4" t="s">
        <v>509</v>
      </c>
      <c r="I685" s="246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5">
        <f>VLOOKUP($H$685,$AO$633:$AP$640,2,FALSE)</f>
        <v>4</v>
      </c>
      <c r="AK687" s="241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101</v>
      </c>
    </row>
    <row r="691" spans="1:51" s="551" customFormat="1" ht="12.75" customHeight="1">
      <c r="A691" s="680"/>
      <c r="B691" s="537"/>
      <c r="C691" s="949"/>
      <c r="D691" s="664" t="s">
        <v>687</v>
      </c>
      <c r="E691" s="2471" t="s">
        <v>2191</v>
      </c>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537"/>
      <c r="AD691" s="537"/>
      <c r="AE691" s="537"/>
      <c r="AF691" s="2380" t="s">
        <v>1352</v>
      </c>
      <c r="AG691" s="2380"/>
      <c r="AH691" s="2380"/>
      <c r="AI691" s="2380"/>
      <c r="AJ691" s="2380"/>
      <c r="AK691" s="2380"/>
      <c r="AL691" s="2380"/>
      <c r="AN691" s="598"/>
      <c r="AW691" s="22" t="s">
        <v>2186</v>
      </c>
      <c r="AX691" s="551">
        <f>Application!DE753</f>
        <v>0</v>
      </c>
    </row>
    <row r="692" spans="1:51" s="551" customFormat="1" ht="12.75" customHeight="1">
      <c r="A692" s="680"/>
      <c r="B692" s="537"/>
      <c r="C692" s="949"/>
      <c r="D692" s="664"/>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5" t="s">
        <v>2135</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37"/>
      <c r="AD694" s="537"/>
      <c r="AE694" s="537"/>
      <c r="AF694" s="2380" t="s">
        <v>1352</v>
      </c>
      <c r="AG694" s="2380"/>
      <c r="AH694" s="2380"/>
      <c r="AI694" s="2380"/>
      <c r="AJ694" s="2380"/>
      <c r="AK694" s="2380"/>
      <c r="AL694" s="2380"/>
      <c r="AN694" s="598"/>
      <c r="AW694" s="22" t="s">
        <v>2189</v>
      </c>
      <c r="AX694" s="551">
        <f>AX691+AX692+AX693</f>
        <v>0</v>
      </c>
    </row>
    <row r="695" spans="1:51" s="551" customFormat="1" ht="12.75" customHeight="1">
      <c r="B695" s="537"/>
      <c r="C695" s="941"/>
      <c r="D695" s="664"/>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37"/>
      <c r="AD695" s="537"/>
      <c r="AE695" s="617"/>
      <c r="AF695" s="537"/>
      <c r="AG695" s="537"/>
      <c r="AH695" s="537"/>
      <c r="AI695" s="537"/>
      <c r="AJ695" s="537"/>
      <c r="AK695" s="537"/>
      <c r="AL695" s="537"/>
      <c r="AN695" s="598"/>
      <c r="AO695" s="2470" t="b">
        <f>IF(Application!D211="Special Needs",IF(AY695&gt;=0.25,TRUE,FALSE),IF(AX695&gt;=0.25,TRUE,FALSE))</f>
        <v>0</v>
      </c>
      <c r="AP695" s="2470"/>
      <c r="AW695" s="22" t="s">
        <v>2190</v>
      </c>
      <c r="AX695" s="551">
        <f>IFERROR(AX694/AX690,0)</f>
        <v>0</v>
      </c>
      <c r="AY695" s="551">
        <f>IFERROR(AX694/(AX690-AX689),0)</f>
        <v>0</v>
      </c>
    </row>
    <row r="696" spans="1:51" s="551" customFormat="1" ht="12.75" customHeight="1">
      <c r="B696" s="537"/>
      <c r="C696" s="941"/>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5"/>
      <c r="F697" s="2435"/>
      <c r="G697" s="2435"/>
      <c r="H697" s="2435"/>
      <c r="I697" s="2435"/>
      <c r="J697" s="2435"/>
      <c r="K697" s="2435"/>
      <c r="L697" s="2435"/>
      <c r="M697" s="2435"/>
      <c r="N697" s="2435"/>
      <c r="O697" s="2435"/>
      <c r="P697" s="2435"/>
      <c r="Q697" s="2435"/>
      <c r="R697" s="2435"/>
      <c r="S697" s="2435"/>
      <c r="T697" s="2435"/>
      <c r="U697" s="2435"/>
      <c r="V697" s="2435"/>
      <c r="W697" s="2435"/>
      <c r="X697" s="2435"/>
      <c r="Y697" s="2435"/>
      <c r="Z697" s="2435"/>
      <c r="AA697" s="2435"/>
      <c r="AB697" s="243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5" t="s">
        <v>2136</v>
      </c>
      <c r="F699" s="2435"/>
      <c r="G699" s="2435"/>
      <c r="H699" s="2435"/>
      <c r="I699" s="2435"/>
      <c r="J699" s="2435"/>
      <c r="K699" s="2435"/>
      <c r="L699" s="2435"/>
      <c r="M699" s="2435"/>
      <c r="N699" s="2435"/>
      <c r="O699" s="2435"/>
      <c r="P699" s="2435"/>
      <c r="Q699" s="2435"/>
      <c r="R699" s="2435"/>
      <c r="S699" s="2435"/>
      <c r="T699" s="2435"/>
      <c r="U699" s="2435"/>
      <c r="V699" s="2435"/>
      <c r="W699" s="2435"/>
      <c r="X699" s="2435"/>
      <c r="Y699" s="2435"/>
      <c r="Z699" s="2435"/>
      <c r="AA699" s="2435"/>
      <c r="AB699" s="2435"/>
      <c r="AC699" s="537"/>
      <c r="AD699" s="537"/>
      <c r="AE699" s="537"/>
      <c r="AF699" s="2380" t="s">
        <v>1408</v>
      </c>
      <c r="AG699" s="2380"/>
      <c r="AH699" s="2380"/>
      <c r="AI699" s="2380"/>
      <c r="AJ699" s="2380"/>
      <c r="AK699" s="2380"/>
      <c r="AL699" s="2380"/>
      <c r="AN699" s="598"/>
      <c r="AO699" s="612" t="s">
        <v>509</v>
      </c>
      <c r="AP699" s="551">
        <v>1</v>
      </c>
    </row>
    <row r="700" spans="1:51" s="551" customFormat="1" ht="12" customHeight="1">
      <c r="B700" s="537"/>
      <c r="C700" s="932"/>
      <c r="E700" s="2435"/>
      <c r="F700" s="2435"/>
      <c r="G700" s="2435"/>
      <c r="H700" s="2435"/>
      <c r="I700" s="2435"/>
      <c r="J700" s="2435"/>
      <c r="K700" s="2435"/>
      <c r="L700" s="2435"/>
      <c r="M700" s="2435"/>
      <c r="N700" s="2435"/>
      <c r="O700" s="2435"/>
      <c r="P700" s="2435"/>
      <c r="Q700" s="2435"/>
      <c r="R700" s="2435"/>
      <c r="S700" s="2435"/>
      <c r="T700" s="2435"/>
      <c r="U700" s="2435"/>
      <c r="V700" s="2435"/>
      <c r="W700" s="2435"/>
      <c r="X700" s="2435"/>
      <c r="Y700" s="2435"/>
      <c r="Z700" s="2435"/>
      <c r="AA700" s="2435"/>
      <c r="AB700" s="2435"/>
      <c r="AC700" s="537"/>
      <c r="AD700" s="537"/>
      <c r="AE700" s="617"/>
      <c r="AF700" s="537"/>
      <c r="AG700" s="537"/>
      <c r="AH700" s="537"/>
      <c r="AI700" s="537"/>
      <c r="AJ700" s="537"/>
      <c r="AK700" s="537"/>
      <c r="AL700" s="537"/>
      <c r="AN700" s="598"/>
    </row>
    <row r="701" spans="1:51" s="551" customFormat="1" ht="12" customHeight="1">
      <c r="B701" s="537"/>
      <c r="C701" s="932"/>
      <c r="D701" s="537"/>
      <c r="E701" s="2435"/>
      <c r="F701" s="2435"/>
      <c r="G701" s="2435"/>
      <c r="H701" s="2435"/>
      <c r="I701" s="2435"/>
      <c r="J701" s="2435"/>
      <c r="K701" s="2435"/>
      <c r="L701" s="2435"/>
      <c r="M701" s="2435"/>
      <c r="N701" s="2435"/>
      <c r="O701" s="2435"/>
      <c r="P701" s="2435"/>
      <c r="Q701" s="2435"/>
      <c r="R701" s="2435"/>
      <c r="S701" s="2435"/>
      <c r="T701" s="2435"/>
      <c r="U701" s="2435"/>
      <c r="V701" s="2435"/>
      <c r="W701" s="2435"/>
      <c r="X701" s="2435"/>
      <c r="Y701" s="2435"/>
      <c r="Z701" s="2435"/>
      <c r="AA701" s="2435"/>
      <c r="AB701" s="2435"/>
      <c r="AC701" s="537"/>
      <c r="AD701" s="537"/>
      <c r="AE701" s="617"/>
      <c r="AF701" s="537"/>
      <c r="AG701" s="537"/>
      <c r="AH701" s="537"/>
      <c r="AI701" s="537"/>
      <c r="AJ701" s="537"/>
      <c r="AK701" s="537"/>
      <c r="AL701" s="537"/>
      <c r="AN701" s="598"/>
    </row>
    <row r="702" spans="1:51" s="551" customFormat="1" ht="12" customHeight="1">
      <c r="B702" s="537"/>
      <c r="C702" s="932"/>
      <c r="D702" s="537"/>
      <c r="E702" s="2435"/>
      <c r="F702" s="2435"/>
      <c r="G702" s="2435"/>
      <c r="H702" s="2435"/>
      <c r="I702" s="2435"/>
      <c r="J702" s="2435"/>
      <c r="K702" s="2435"/>
      <c r="L702" s="2435"/>
      <c r="M702" s="2435"/>
      <c r="N702" s="2435"/>
      <c r="O702" s="2435"/>
      <c r="P702" s="2435"/>
      <c r="Q702" s="2435"/>
      <c r="R702" s="2435"/>
      <c r="S702" s="2435"/>
      <c r="T702" s="2435"/>
      <c r="U702" s="2435"/>
      <c r="V702" s="2435"/>
      <c r="W702" s="2435"/>
      <c r="X702" s="2435"/>
      <c r="Y702" s="2435"/>
      <c r="Z702" s="2435"/>
      <c r="AA702" s="2435"/>
      <c r="AB702" s="2435"/>
      <c r="AC702" s="537"/>
      <c r="AD702" s="537"/>
      <c r="AE702" s="617"/>
      <c r="AF702" s="537"/>
      <c r="AG702" s="537"/>
      <c r="AH702" s="537"/>
      <c r="AI702" s="537"/>
      <c r="AJ702" s="537"/>
      <c r="AK702" s="537"/>
      <c r="AL702" s="537"/>
      <c r="AN702" s="598"/>
    </row>
    <row r="703" spans="1:51" s="571" customFormat="1" ht="13.05" customHeight="1">
      <c r="A703" s="551"/>
      <c r="B703" s="537"/>
      <c r="C703" s="932"/>
      <c r="D703" s="537"/>
      <c r="E703" s="2435"/>
      <c r="F703" s="2435"/>
      <c r="G703" s="2435"/>
      <c r="H703" s="2435"/>
      <c r="I703" s="2435"/>
      <c r="J703" s="2435"/>
      <c r="K703" s="2435"/>
      <c r="L703" s="2435"/>
      <c r="M703" s="2435"/>
      <c r="N703" s="2435"/>
      <c r="O703" s="2435"/>
      <c r="P703" s="2435"/>
      <c r="Q703" s="2435"/>
      <c r="R703" s="2435"/>
      <c r="S703" s="2435"/>
      <c r="T703" s="2435"/>
      <c r="U703" s="2435"/>
      <c r="V703" s="2435"/>
      <c r="W703" s="2435"/>
      <c r="X703" s="2435"/>
      <c r="Y703" s="2435"/>
      <c r="Z703" s="2435"/>
      <c r="AA703" s="2435"/>
      <c r="AB703" s="243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5" t="s">
        <v>1693</v>
      </c>
      <c r="F705" s="2435"/>
      <c r="G705" s="2435"/>
      <c r="H705" s="2435"/>
      <c r="I705" s="2435"/>
      <c r="J705" s="2435"/>
      <c r="K705" s="2435"/>
      <c r="L705" s="2435"/>
      <c r="M705" s="2435"/>
      <c r="N705" s="2435"/>
      <c r="O705" s="2435"/>
      <c r="P705" s="2435"/>
      <c r="Q705" s="2435"/>
      <c r="R705" s="2435"/>
      <c r="S705" s="2435"/>
      <c r="T705" s="2435"/>
      <c r="U705" s="2435"/>
      <c r="V705" s="2435"/>
      <c r="W705" s="2435"/>
      <c r="X705" s="2435"/>
      <c r="Y705" s="2435"/>
      <c r="Z705" s="2435"/>
      <c r="AA705" s="2435"/>
      <c r="AB705" s="2435"/>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5"/>
      <c r="F706" s="2435"/>
      <c r="G706" s="2435"/>
      <c r="H706" s="2435"/>
      <c r="I706" s="2435"/>
      <c r="J706" s="2435"/>
      <c r="K706" s="2435"/>
      <c r="L706" s="2435"/>
      <c r="M706" s="2435"/>
      <c r="N706" s="2435"/>
      <c r="O706" s="2435"/>
      <c r="P706" s="2435"/>
      <c r="Q706" s="2435"/>
      <c r="R706" s="2435"/>
      <c r="S706" s="2435"/>
      <c r="T706" s="2435"/>
      <c r="U706" s="2435"/>
      <c r="V706" s="2435"/>
      <c r="W706" s="2435"/>
      <c r="X706" s="2435"/>
      <c r="Y706" s="2435"/>
      <c r="Z706" s="2435"/>
      <c r="AA706" s="2435"/>
      <c r="AB706" s="2435"/>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5"/>
      <c r="F707" s="2435"/>
      <c r="G707" s="2435"/>
      <c r="H707" s="2435"/>
      <c r="I707" s="2435"/>
      <c r="J707" s="2435"/>
      <c r="K707" s="2435"/>
      <c r="L707" s="2435"/>
      <c r="M707" s="2435"/>
      <c r="N707" s="2435"/>
      <c r="O707" s="2435"/>
      <c r="P707" s="2435"/>
      <c r="Q707" s="2435"/>
      <c r="R707" s="2435"/>
      <c r="S707" s="2435"/>
      <c r="T707" s="2435"/>
      <c r="U707" s="2435"/>
      <c r="V707" s="2435"/>
      <c r="W707" s="2435"/>
      <c r="X707" s="2435"/>
      <c r="Y707" s="2435"/>
      <c r="Z707" s="2435"/>
      <c r="AA707" s="2435"/>
      <c r="AB707" s="243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4" t="s">
        <v>591</v>
      </c>
      <c r="I709" s="246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5">
        <f>VLOOKUP($H$709,$AO$703:$AP$706,2,FALSE)</f>
        <v>0</v>
      </c>
      <c r="AK711" s="241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380" t="s">
        <v>1352</v>
      </c>
      <c r="AG715" s="2380"/>
      <c r="AH715" s="2380"/>
      <c r="AI715" s="2380"/>
      <c r="AJ715" s="2380"/>
      <c r="AK715" s="2380"/>
      <c r="AL715" s="2380"/>
      <c r="AM715" s="551"/>
      <c r="AN715" s="685"/>
      <c r="AP715" s="571" t="s">
        <v>1432</v>
      </c>
    </row>
    <row r="716" spans="1:43" s="571" customFormat="1" ht="11.7"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380" t="s">
        <v>1408</v>
      </c>
      <c r="AG719" s="2380"/>
      <c r="AH719" s="2380"/>
      <c r="AI719" s="2380"/>
      <c r="AJ719" s="2380"/>
      <c r="AK719" s="2380"/>
      <c r="AL719" s="238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64" t="s">
        <v>591</v>
      </c>
      <c r="I723" s="246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5">
        <f>VLOOKUP($H$723,$AP$720:$AQ$722,2,FALSE)</f>
        <v>0</v>
      </c>
      <c r="AK725" s="2417"/>
      <c r="AL725" s="596"/>
      <c r="AM725" s="551"/>
      <c r="AN725" s="685"/>
      <c r="AP725" s="2415"/>
      <c r="AQ725" s="241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5" t="s">
        <v>1696</v>
      </c>
      <c r="F729" s="2435"/>
      <c r="G729" s="2435"/>
      <c r="H729" s="2435"/>
      <c r="I729" s="2435"/>
      <c r="J729" s="2435"/>
      <c r="K729" s="2435"/>
      <c r="L729" s="2435"/>
      <c r="M729" s="2435"/>
      <c r="N729" s="2435"/>
      <c r="O729" s="2435"/>
      <c r="P729" s="2435"/>
      <c r="Q729" s="2435"/>
      <c r="R729" s="2435"/>
      <c r="S729" s="2435"/>
      <c r="T729" s="2435"/>
      <c r="U729" s="2435"/>
      <c r="V729" s="2435"/>
      <c r="W729" s="2435"/>
      <c r="X729" s="2435"/>
      <c r="Y729" s="2435"/>
      <c r="Z729" s="2435"/>
      <c r="AA729" s="2435"/>
      <c r="AB729" s="2435"/>
      <c r="AC729" s="537"/>
      <c r="AD729" s="537"/>
      <c r="AE729" s="537"/>
      <c r="AF729" s="2380" t="s">
        <v>1352</v>
      </c>
      <c r="AG729" s="2380"/>
      <c r="AH729" s="2380"/>
      <c r="AI729" s="2380"/>
      <c r="AJ729" s="2380"/>
      <c r="AK729" s="2380"/>
      <c r="AL729" s="2380"/>
      <c r="AM729" s="551"/>
      <c r="AN729" s="685"/>
      <c r="AT729" s="14"/>
      <c r="AU729" s="14"/>
      <c r="AV729" s="14"/>
      <c r="AW729" s="14"/>
      <c r="AX729" s="14"/>
      <c r="AY729" s="14"/>
      <c r="AZ729" s="14"/>
    </row>
    <row r="730" spans="1:81" s="571" customFormat="1">
      <c r="A730" s="551"/>
      <c r="B730" s="537"/>
      <c r="C730" s="934"/>
      <c r="D730" s="664"/>
      <c r="E730" s="2435"/>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5" t="s">
        <v>1439</v>
      </c>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37"/>
      <c r="AD732" s="537"/>
      <c r="AE732" s="537"/>
      <c r="AF732" s="2380" t="s">
        <v>1408</v>
      </c>
      <c r="AG732" s="2380"/>
      <c r="AH732" s="2380"/>
      <c r="AI732" s="2380"/>
      <c r="AJ732" s="2380"/>
      <c r="AK732" s="2380"/>
      <c r="AL732" s="2380"/>
      <c r="AM732" s="551"/>
      <c r="AN732" s="685"/>
      <c r="AT732" s="14"/>
      <c r="AU732" s="14"/>
      <c r="AV732" s="14"/>
      <c r="AW732" s="14"/>
      <c r="AX732" s="14"/>
      <c r="AY732" s="14"/>
      <c r="AZ732" s="14"/>
    </row>
    <row r="733" spans="1:81" s="571" customFormat="1">
      <c r="A733" s="551"/>
      <c r="B733" s="537"/>
      <c r="C733" s="934"/>
      <c r="D733" s="537"/>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4" t="s">
        <v>591</v>
      </c>
      <c r="I735" s="246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5">
        <f>VLOOKUP($H$735,$AO$666:$AP$668,2,FALSE)</f>
        <v>0</v>
      </c>
      <c r="AK737" s="241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5" t="s">
        <v>1442</v>
      </c>
      <c r="F741" s="2435"/>
      <c r="G741" s="2435"/>
      <c r="H741" s="2435"/>
      <c r="I741" s="2435"/>
      <c r="J741" s="2435"/>
      <c r="K741" s="2435"/>
      <c r="L741" s="2435"/>
      <c r="M741" s="2435"/>
      <c r="N741" s="2435"/>
      <c r="O741" s="2435"/>
      <c r="P741" s="2435"/>
      <c r="Q741" s="2435"/>
      <c r="R741" s="2435"/>
      <c r="S741" s="2435"/>
      <c r="T741" s="2435"/>
      <c r="U741" s="2435"/>
      <c r="V741" s="2435"/>
      <c r="W741" s="2435"/>
      <c r="X741" s="2435"/>
      <c r="Y741" s="2435"/>
      <c r="Z741" s="2435"/>
      <c r="AA741" s="2435"/>
      <c r="AB741" s="2435"/>
      <c r="AC741" s="537"/>
      <c r="AD741" s="537"/>
      <c r="AE741" s="537"/>
      <c r="AF741" s="2380" t="s">
        <v>1352</v>
      </c>
      <c r="AG741" s="2380"/>
      <c r="AH741" s="2380"/>
      <c r="AI741" s="2380"/>
      <c r="AJ741" s="2380"/>
      <c r="AK741" s="2380"/>
      <c r="AL741" s="2380"/>
      <c r="AM741" s="551"/>
      <c r="AN741" s="685"/>
      <c r="AT741" s="14"/>
      <c r="AU741" s="14"/>
      <c r="AV741" s="14"/>
      <c r="AW741" s="14"/>
      <c r="AX741" s="14"/>
      <c r="AY741" s="14"/>
      <c r="AZ741" s="14"/>
    </row>
    <row r="742" spans="1:81" s="571" customFormat="1">
      <c r="A742" s="551"/>
      <c r="B742" s="537"/>
      <c r="C742" s="932"/>
      <c r="D742" s="664"/>
      <c r="E742" s="2435"/>
      <c r="F742" s="2435"/>
      <c r="G742" s="2435"/>
      <c r="H742" s="2435"/>
      <c r="I742" s="2435"/>
      <c r="J742" s="2435"/>
      <c r="K742" s="2435"/>
      <c r="L742" s="2435"/>
      <c r="M742" s="2435"/>
      <c r="N742" s="2435"/>
      <c r="O742" s="2435"/>
      <c r="P742" s="2435"/>
      <c r="Q742" s="2435"/>
      <c r="R742" s="2435"/>
      <c r="S742" s="2435"/>
      <c r="T742" s="2435"/>
      <c r="U742" s="2435"/>
      <c r="V742" s="2435"/>
      <c r="W742" s="2435"/>
      <c r="X742" s="2435"/>
      <c r="Y742" s="2435"/>
      <c r="Z742" s="2435"/>
      <c r="AA742" s="2435"/>
      <c r="AB742" s="243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5"/>
      <c r="F743" s="2435"/>
      <c r="G743" s="2435"/>
      <c r="H743" s="2435"/>
      <c r="I743" s="2435"/>
      <c r="J743" s="2435"/>
      <c r="K743" s="2435"/>
      <c r="L743" s="2435"/>
      <c r="M743" s="2435"/>
      <c r="N743" s="2435"/>
      <c r="O743" s="2435"/>
      <c r="P743" s="2435"/>
      <c r="Q743" s="2435"/>
      <c r="R743" s="2435"/>
      <c r="S743" s="2435"/>
      <c r="T743" s="2435"/>
      <c r="U743" s="2435"/>
      <c r="V743" s="2435"/>
      <c r="W743" s="2435"/>
      <c r="X743" s="2435"/>
      <c r="Y743" s="2435"/>
      <c r="Z743" s="2435"/>
      <c r="AA743" s="2435"/>
      <c r="AB743" s="243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5"/>
      <c r="F744" s="2435"/>
      <c r="G744" s="2435"/>
      <c r="H744" s="2435"/>
      <c r="I744" s="2435"/>
      <c r="J744" s="2435"/>
      <c r="K744" s="2435"/>
      <c r="L744" s="2435"/>
      <c r="M744" s="2435"/>
      <c r="N744" s="2435"/>
      <c r="O744" s="2435"/>
      <c r="P744" s="2435"/>
      <c r="Q744" s="2435"/>
      <c r="R744" s="2435"/>
      <c r="S744" s="2435"/>
      <c r="T744" s="2435"/>
      <c r="U744" s="2435"/>
      <c r="V744" s="2435"/>
      <c r="W744" s="2435"/>
      <c r="X744" s="2435"/>
      <c r="Y744" s="2435"/>
      <c r="Z744" s="2435"/>
      <c r="AA744" s="2435"/>
      <c r="AB744" s="243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5" t="s">
        <v>1443</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576"/>
      <c r="AC746" s="537"/>
      <c r="AD746" s="537"/>
      <c r="AE746" s="537"/>
      <c r="AF746" s="2380" t="s">
        <v>1408</v>
      </c>
      <c r="AG746" s="2380"/>
      <c r="AH746" s="2380"/>
      <c r="AI746" s="2380"/>
      <c r="AJ746" s="2380"/>
      <c r="AK746" s="2380"/>
      <c r="AL746" s="2380"/>
      <c r="AM746" s="551"/>
      <c r="AN746" s="685"/>
      <c r="AO746" s="30"/>
      <c r="AP746" s="14"/>
    </row>
    <row r="747" spans="1:81" s="571" customFormat="1">
      <c r="A747" s="551"/>
      <c r="B747" s="537"/>
      <c r="C747" s="932"/>
      <c r="D747" s="664"/>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5"/>
      <c r="F748" s="2435"/>
      <c r="G748" s="2435"/>
      <c r="H748" s="2435"/>
      <c r="I748" s="2435"/>
      <c r="J748" s="2435"/>
      <c r="K748" s="2435"/>
      <c r="L748" s="2435"/>
      <c r="M748" s="2435"/>
      <c r="N748" s="2435"/>
      <c r="O748" s="2435"/>
      <c r="P748" s="2435"/>
      <c r="Q748" s="2435"/>
      <c r="R748" s="2435"/>
      <c r="S748" s="2435"/>
      <c r="T748" s="2435"/>
      <c r="U748" s="2435"/>
      <c r="V748" s="2435"/>
      <c r="W748" s="2435"/>
      <c r="X748" s="2435"/>
      <c r="Y748" s="2435"/>
      <c r="Z748" s="2435"/>
      <c r="AA748" s="243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5"/>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4" t="s">
        <v>591</v>
      </c>
      <c r="I751" s="246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5">
        <f>VLOOKUP($H$751,$AO$680:$AP$682,2,FALSE)</f>
        <v>0</v>
      </c>
      <c r="AK753" s="241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5" t="s">
        <v>1445</v>
      </c>
      <c r="F757" s="2435"/>
      <c r="G757" s="2435"/>
      <c r="H757" s="2435"/>
      <c r="I757" s="2435"/>
      <c r="J757" s="2435"/>
      <c r="K757" s="2435"/>
      <c r="L757" s="2435"/>
      <c r="M757" s="2435"/>
      <c r="N757" s="2435"/>
      <c r="O757" s="2435"/>
      <c r="P757" s="2435"/>
      <c r="Q757" s="2435"/>
      <c r="R757" s="2435"/>
      <c r="S757" s="2435"/>
      <c r="T757" s="2435"/>
      <c r="U757" s="2435"/>
      <c r="V757" s="2435"/>
      <c r="W757" s="2435"/>
      <c r="X757" s="2435"/>
      <c r="Y757" s="2435"/>
      <c r="Z757" s="2435"/>
      <c r="AA757" s="2435"/>
      <c r="AB757" s="2435"/>
      <c r="AC757" s="537"/>
      <c r="AD757" s="537"/>
      <c r="AE757" s="537"/>
      <c r="AF757" s="2380" t="s">
        <v>1408</v>
      </c>
      <c r="AG757" s="2380"/>
      <c r="AH757" s="2380"/>
      <c r="AI757" s="2380"/>
      <c r="AJ757" s="2380"/>
      <c r="AK757" s="2380"/>
      <c r="AL757" s="238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5"/>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5" t="s">
        <v>1446</v>
      </c>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537"/>
      <c r="AD760" s="537"/>
      <c r="AE760" s="537"/>
      <c r="AF760" s="2380" t="s">
        <v>1425</v>
      </c>
      <c r="AG760" s="2380"/>
      <c r="AH760" s="2380"/>
      <c r="AI760" s="2380"/>
      <c r="AJ760" s="2380"/>
      <c r="AK760" s="2380"/>
      <c r="AL760" s="238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4" t="s">
        <v>591</v>
      </c>
      <c r="I763" s="246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5">
        <f>VLOOKUP($H$763,$AO$697:$AP$699,2,FALSE)</f>
        <v>0</v>
      </c>
      <c r="AK765" s="241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435" t="s">
        <v>1692</v>
      </c>
      <c r="F769" s="2435"/>
      <c r="G769" s="2435"/>
      <c r="H769" s="2435"/>
      <c r="I769" s="2435"/>
      <c r="J769" s="2435"/>
      <c r="K769" s="2435"/>
      <c r="L769" s="2435"/>
      <c r="M769" s="2435"/>
      <c r="N769" s="2435"/>
      <c r="O769" s="2435"/>
      <c r="P769" s="2435"/>
      <c r="Q769" s="2435"/>
      <c r="R769" s="2435"/>
      <c r="S769" s="2435"/>
      <c r="T769" s="2435"/>
      <c r="U769" s="2435"/>
      <c r="V769" s="2435"/>
      <c r="W769" s="2435"/>
      <c r="X769" s="2435"/>
      <c r="Y769" s="2435"/>
      <c r="Z769" s="2435"/>
      <c r="AA769" s="2435"/>
      <c r="AB769" s="2435"/>
      <c r="AC769" s="2435"/>
      <c r="AD769" s="2435"/>
      <c r="AE769" s="537"/>
      <c r="AF769" s="2380" t="s">
        <v>1408</v>
      </c>
      <c r="AG769" s="2380"/>
      <c r="AH769" s="2380"/>
      <c r="AI769" s="2380"/>
      <c r="AJ769" s="2380"/>
      <c r="AK769" s="2380"/>
      <c r="AL769" s="2380"/>
      <c r="AM769" s="614"/>
      <c r="AN769" s="685"/>
      <c r="AO769" s="551" t="s">
        <v>591</v>
      </c>
      <c r="AP769" s="674">
        <v>0</v>
      </c>
    </row>
    <row r="770" spans="1:81" s="571" customFormat="1" ht="13.8" customHeight="1">
      <c r="A770" s="551"/>
      <c r="B770" s="617"/>
      <c r="C770" s="941"/>
      <c r="D770" s="664"/>
      <c r="E770" s="2435"/>
      <c r="F770" s="2435"/>
      <c r="G770" s="2435"/>
      <c r="H770" s="2435"/>
      <c r="I770" s="2435"/>
      <c r="J770" s="2435"/>
      <c r="K770" s="2435"/>
      <c r="L770" s="2435"/>
      <c r="M770" s="2435"/>
      <c r="N770" s="2435"/>
      <c r="O770" s="2435"/>
      <c r="P770" s="2435"/>
      <c r="Q770" s="2435"/>
      <c r="R770" s="2435"/>
      <c r="S770" s="2435"/>
      <c r="T770" s="2435"/>
      <c r="U770" s="2435"/>
      <c r="V770" s="2435"/>
      <c r="W770" s="2435"/>
      <c r="X770" s="2435"/>
      <c r="Y770" s="2435"/>
      <c r="Z770" s="2435"/>
      <c r="AA770" s="2435"/>
      <c r="AB770" s="2435"/>
      <c r="AC770" s="2435"/>
      <c r="AD770" s="2435"/>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5"/>
      <c r="F771" s="2435"/>
      <c r="G771" s="2435"/>
      <c r="H771" s="2435"/>
      <c r="I771" s="2435"/>
      <c r="J771" s="2435"/>
      <c r="K771" s="2435"/>
      <c r="L771" s="2435"/>
      <c r="M771" s="2435"/>
      <c r="N771" s="2435"/>
      <c r="O771" s="2435"/>
      <c r="P771" s="2435"/>
      <c r="Q771" s="2435"/>
      <c r="R771" s="2435"/>
      <c r="S771" s="2435"/>
      <c r="T771" s="2435"/>
      <c r="U771" s="2435"/>
      <c r="V771" s="2435"/>
      <c r="W771" s="2435"/>
      <c r="X771" s="2435"/>
      <c r="Y771" s="2435"/>
      <c r="Z771" s="2435"/>
      <c r="AA771" s="2435"/>
      <c r="AB771" s="2435"/>
      <c r="AC771" s="2435"/>
      <c r="AD771" s="243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435"/>
      <c r="F772" s="2435"/>
      <c r="G772" s="2435"/>
      <c r="H772" s="2435"/>
      <c r="I772" s="2435"/>
      <c r="J772" s="2435"/>
      <c r="K772" s="2435"/>
      <c r="L772" s="2435"/>
      <c r="M772" s="2435"/>
      <c r="N772" s="2435"/>
      <c r="O772" s="2435"/>
      <c r="P772" s="2435"/>
      <c r="Q772" s="2435"/>
      <c r="R772" s="2435"/>
      <c r="S772" s="2435"/>
      <c r="T772" s="2435"/>
      <c r="U772" s="2435"/>
      <c r="V772" s="2435"/>
      <c r="W772" s="2435"/>
      <c r="X772" s="2435"/>
      <c r="Y772" s="2435"/>
      <c r="Z772" s="2435"/>
      <c r="AA772" s="2435"/>
      <c r="AB772" s="2435"/>
      <c r="AC772" s="2435"/>
      <c r="AD772" s="243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4" t="s">
        <v>1697</v>
      </c>
      <c r="F774" s="2474"/>
      <c r="G774" s="2474"/>
      <c r="H774" s="2474"/>
      <c r="I774" s="2474"/>
      <c r="J774" s="2474"/>
      <c r="K774" s="2474"/>
      <c r="L774" s="2474"/>
      <c r="M774" s="2474"/>
      <c r="N774" s="2474"/>
      <c r="O774" s="2474"/>
      <c r="P774" s="2474"/>
      <c r="Q774" s="2474"/>
      <c r="R774" s="2474"/>
      <c r="S774" s="2474"/>
      <c r="T774" s="2474"/>
      <c r="U774" s="2474"/>
      <c r="V774" s="2474"/>
      <c r="W774" s="2474"/>
      <c r="X774" s="2474"/>
      <c r="Y774" s="2474"/>
      <c r="Z774" s="2474"/>
      <c r="AA774" s="2474"/>
      <c r="AB774" s="2474"/>
      <c r="AC774" s="2474"/>
      <c r="AD774" s="2474"/>
      <c r="AE774" s="537"/>
      <c r="AF774" s="2380" t="s">
        <v>1352</v>
      </c>
      <c r="AG774" s="2380"/>
      <c r="AH774" s="2380"/>
      <c r="AI774" s="2380"/>
      <c r="AJ774" s="2380"/>
      <c r="AK774" s="2380"/>
      <c r="AL774" s="2380"/>
      <c r="AM774" s="614"/>
      <c r="AN774" s="598"/>
    </row>
    <row r="775" spans="1:81" s="551" customFormat="1" ht="12.75" customHeight="1">
      <c r="B775" s="617"/>
      <c r="C775" s="941"/>
      <c r="D775" s="664"/>
      <c r="E775" s="2474"/>
      <c r="F775" s="2474"/>
      <c r="G775" s="2474"/>
      <c r="H775" s="2474"/>
      <c r="I775" s="2474"/>
      <c r="J775" s="2474"/>
      <c r="K775" s="2474"/>
      <c r="L775" s="2474"/>
      <c r="M775" s="2474"/>
      <c r="N775" s="2474"/>
      <c r="O775" s="2474"/>
      <c r="P775" s="2474"/>
      <c r="Q775" s="2474"/>
      <c r="R775" s="2474"/>
      <c r="S775" s="2474"/>
      <c r="T775" s="2474"/>
      <c r="U775" s="2474"/>
      <c r="V775" s="2474"/>
      <c r="W775" s="2474"/>
      <c r="X775" s="2474"/>
      <c r="Y775" s="2474"/>
      <c r="Z775" s="2474"/>
      <c r="AA775" s="2474"/>
      <c r="AB775" s="2474"/>
      <c r="AC775" s="2474"/>
      <c r="AD775" s="2474"/>
      <c r="AE775" s="595"/>
      <c r="AF775" s="595"/>
      <c r="AG775" s="595"/>
      <c r="AH775" s="595"/>
      <c r="AI775" s="595"/>
      <c r="AJ775" s="595"/>
      <c r="AK775" s="595"/>
      <c r="AL775" s="595"/>
      <c r="AM775" s="614"/>
      <c r="AN775" s="598"/>
    </row>
    <row r="776" spans="1:81" s="551" customFormat="1" ht="12.75" customHeight="1">
      <c r="B776" s="617"/>
      <c r="C776" s="941"/>
      <c r="D776" s="664"/>
      <c r="E776" s="2474"/>
      <c r="F776" s="2474"/>
      <c r="G776" s="2474"/>
      <c r="H776" s="2474"/>
      <c r="I776" s="2474"/>
      <c r="J776" s="2474"/>
      <c r="K776" s="2474"/>
      <c r="L776" s="2474"/>
      <c r="M776" s="2474"/>
      <c r="N776" s="2474"/>
      <c r="O776" s="2474"/>
      <c r="P776" s="2474"/>
      <c r="Q776" s="2474"/>
      <c r="R776" s="2474"/>
      <c r="S776" s="2474"/>
      <c r="T776" s="2474"/>
      <c r="U776" s="2474"/>
      <c r="V776" s="2474"/>
      <c r="W776" s="2474"/>
      <c r="X776" s="2474"/>
      <c r="Y776" s="2474"/>
      <c r="Z776" s="2474"/>
      <c r="AA776" s="2474"/>
      <c r="AB776" s="2474"/>
      <c r="AC776" s="2474"/>
      <c r="AD776" s="2474"/>
      <c r="AE776" s="595"/>
      <c r="AF776" s="595"/>
      <c r="AG776" s="595"/>
      <c r="AH776" s="595"/>
      <c r="AI776" s="595"/>
      <c r="AJ776" s="595"/>
      <c r="AK776" s="595"/>
      <c r="AL776" s="595"/>
      <c r="AM776" s="614"/>
      <c r="AN776" s="598"/>
    </row>
    <row r="777" spans="1:81" s="551" customFormat="1" ht="12.75" customHeight="1">
      <c r="B777" s="617"/>
      <c r="C777" s="941"/>
      <c r="D777" s="664"/>
      <c r="E777" s="2474"/>
      <c r="F777" s="2474"/>
      <c r="G777" s="2474"/>
      <c r="H777" s="2474"/>
      <c r="I777" s="2474"/>
      <c r="J777" s="2474"/>
      <c r="K777" s="2474"/>
      <c r="L777" s="2474"/>
      <c r="M777" s="2474"/>
      <c r="N777" s="2474"/>
      <c r="O777" s="2474"/>
      <c r="P777" s="2474"/>
      <c r="Q777" s="2474"/>
      <c r="R777" s="2474"/>
      <c r="S777" s="2474"/>
      <c r="T777" s="2474"/>
      <c r="U777" s="2474"/>
      <c r="V777" s="2474"/>
      <c r="W777" s="2474"/>
      <c r="X777" s="2474"/>
      <c r="Y777" s="2474"/>
      <c r="Z777" s="2474"/>
      <c r="AA777" s="2474"/>
      <c r="AB777" s="2474"/>
      <c r="AC777" s="2474"/>
      <c r="AD777" s="247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4" t="s">
        <v>591</v>
      </c>
      <c r="I779" s="246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5">
        <f>VLOOKUP($H$779,$AO$769:$AP$771,2,FALSE)</f>
        <v>0</v>
      </c>
      <c r="AK781" s="2417"/>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435" t="s">
        <v>2034</v>
      </c>
      <c r="F785" s="2435"/>
      <c r="G785" s="2435"/>
      <c r="H785" s="2435"/>
      <c r="I785" s="2435"/>
      <c r="J785" s="2435"/>
      <c r="K785" s="2435"/>
      <c r="L785" s="2435"/>
      <c r="M785" s="2435"/>
      <c r="N785" s="2435"/>
      <c r="O785" s="2435"/>
      <c r="P785" s="2435"/>
      <c r="Q785" s="2435"/>
      <c r="R785" s="2435"/>
      <c r="S785" s="2435"/>
      <c r="T785" s="2435"/>
      <c r="U785" s="2435"/>
      <c r="V785" s="2435"/>
      <c r="W785" s="2435"/>
      <c r="X785" s="2435"/>
      <c r="Y785" s="2435"/>
      <c r="Z785" s="2435"/>
      <c r="AA785" s="2435"/>
      <c r="AB785" s="2435"/>
      <c r="AC785" s="2435"/>
      <c r="AD785" s="2435"/>
      <c r="AE785" s="537"/>
      <c r="AF785" s="2380" t="s">
        <v>1352</v>
      </c>
      <c r="AG785" s="2380"/>
      <c r="AH785" s="2380"/>
      <c r="AI785" s="2380"/>
      <c r="AJ785" s="2380"/>
      <c r="AK785" s="2380"/>
      <c r="AL785" s="2380"/>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5"/>
      <c r="F788" s="2435"/>
      <c r="G788" s="2435"/>
      <c r="H788" s="2435"/>
      <c r="I788" s="2435"/>
      <c r="J788" s="2435"/>
      <c r="K788" s="2435"/>
      <c r="L788" s="2435"/>
      <c r="M788" s="2435"/>
      <c r="N788" s="2435"/>
      <c r="O788" s="2435"/>
      <c r="P788" s="2435"/>
      <c r="Q788" s="2435"/>
      <c r="R788" s="2435"/>
      <c r="S788" s="2435"/>
      <c r="T788" s="2435"/>
      <c r="U788" s="2435"/>
      <c r="V788" s="2435"/>
      <c r="W788" s="2435"/>
      <c r="X788" s="2435"/>
      <c r="Y788" s="2435"/>
      <c r="Z788" s="2435"/>
      <c r="AA788" s="2435"/>
      <c r="AB788" s="2435"/>
      <c r="AC788" s="2435"/>
      <c r="AD788" s="243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64" t="s">
        <v>591</v>
      </c>
      <c r="I790" s="246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5">
        <f>VLOOKUP($H$790,$AO$784:$AP$785,2,FALSE)</f>
        <v>0</v>
      </c>
      <c r="AK792" s="241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5">
        <f>IF(($AJ$621+$AJ$640+$AJ$652+$AJ$687+$AJ$711+$AJ$725+$AJ$737+$AJ$753+$AJ$765+$AJ$781+AJ792)&gt;10,10,($AJ$621+$AJ$640+$AJ$652+$AJ$687+$AJ$711+$AJ$725+$AJ$737+$AJ$753+$AJ$765+$AJ$781+AJ792))</f>
        <v>10</v>
      </c>
      <c r="AL794" s="2416"/>
      <c r="AM794" s="241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8" t="s">
        <v>1568</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6"/>
      <c r="B800" s="2456"/>
      <c r="C800" s="2456"/>
      <c r="D800" s="2456"/>
      <c r="E800" s="2456"/>
      <c r="F800" s="2456"/>
      <c r="G800" s="2456"/>
      <c r="H800" s="2456"/>
      <c r="I800" s="2456"/>
      <c r="J800" s="2456"/>
      <c r="K800" s="2456"/>
      <c r="L800" s="2456"/>
      <c r="M800" s="2456"/>
      <c r="N800" s="2456"/>
      <c r="O800" s="2456"/>
      <c r="P800" s="2456"/>
      <c r="Q800" s="2456"/>
      <c r="R800" s="2456"/>
      <c r="S800" s="2456"/>
      <c r="T800" s="2456"/>
      <c r="U800" s="2456"/>
      <c r="V800" s="2456"/>
      <c r="W800" s="2456"/>
      <c r="X800" s="2456"/>
      <c r="Y800" s="2456"/>
      <c r="Z800" s="2456"/>
      <c r="AA800" s="2456"/>
      <c r="AB800" s="2456"/>
      <c r="AC800" s="2456"/>
      <c r="AD800" s="2456"/>
      <c r="AE800" s="2456"/>
      <c r="AF800" s="2456"/>
      <c r="AG800" s="2456"/>
      <c r="AH800" s="2456"/>
      <c r="AI800" s="2456"/>
      <c r="AJ800" s="2456"/>
      <c r="AK800" s="2456"/>
      <c r="AL800" s="2456"/>
      <c r="AM800" s="2456"/>
      <c r="AP800" s="817"/>
      <c r="AQ800" s="817"/>
    </row>
    <row r="801" spans="1:81">
      <c r="A801" s="2456"/>
      <c r="B801" s="2456"/>
      <c r="C801" s="2456"/>
      <c r="D801" s="2456"/>
      <c r="E801" s="2456"/>
      <c r="F801" s="2456"/>
      <c r="G801" s="2456"/>
      <c r="H801" s="2456"/>
      <c r="I801" s="2456"/>
      <c r="J801" s="2456"/>
      <c r="K801" s="2456"/>
      <c r="L801" s="2456"/>
      <c r="M801" s="2456"/>
      <c r="N801" s="2456"/>
      <c r="O801" s="2456"/>
      <c r="P801" s="2456"/>
      <c r="Q801" s="2456"/>
      <c r="R801" s="2456"/>
      <c r="S801" s="2456"/>
      <c r="T801" s="2456"/>
      <c r="U801" s="2456"/>
      <c r="V801" s="2456"/>
      <c r="W801" s="2456"/>
      <c r="X801" s="2456"/>
      <c r="Y801" s="2456"/>
      <c r="Z801" s="2456"/>
      <c r="AA801" s="2456"/>
      <c r="AB801" s="2456"/>
      <c r="AC801" s="2456"/>
      <c r="AD801" s="2456"/>
      <c r="AE801" s="2456"/>
      <c r="AF801" s="2456"/>
      <c r="AG801" s="2456"/>
      <c r="AH801" s="2456"/>
      <c r="AI801" s="2456"/>
      <c r="AJ801" s="2456"/>
      <c r="AK801" s="2456"/>
      <c r="AL801" s="2456"/>
      <c r="AM801" s="245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1" t="s">
        <v>1569</v>
      </c>
      <c r="U802" s="2512"/>
      <c r="V802" s="2512"/>
      <c r="W802" s="2512"/>
      <c r="X802" s="2512"/>
      <c r="Y802" s="2513"/>
      <c r="Z802" s="2511" t="s">
        <v>1570</v>
      </c>
      <c r="AA802" s="2512"/>
      <c r="AB802" s="2512"/>
      <c r="AC802" s="2512"/>
      <c r="AD802" s="2512"/>
      <c r="AE802" s="2513"/>
      <c r="AF802" s="2511" t="s">
        <v>1571</v>
      </c>
      <c r="AG802" s="2512"/>
      <c r="AH802" s="2512"/>
      <c r="AI802" s="2512"/>
      <c r="AJ802" s="2512"/>
      <c r="AK802" s="2513"/>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4"/>
      <c r="U803" s="2515"/>
      <c r="V803" s="2515"/>
      <c r="W803" s="2515"/>
      <c r="X803" s="2515"/>
      <c r="Y803" s="2516"/>
      <c r="Z803" s="2514"/>
      <c r="AA803" s="2515"/>
      <c r="AB803" s="2515"/>
      <c r="AC803" s="2515"/>
      <c r="AD803" s="2515"/>
      <c r="AE803" s="2516"/>
      <c r="AF803" s="2514"/>
      <c r="AG803" s="2515"/>
      <c r="AH803" s="2515"/>
      <c r="AI803" s="2515"/>
      <c r="AJ803" s="2515"/>
      <c r="AK803" s="2516"/>
      <c r="AL803" s="819"/>
      <c r="AM803" s="597"/>
      <c r="AO803" s="817"/>
      <c r="AP803" s="817"/>
      <c r="AQ803" s="817"/>
    </row>
    <row r="804" spans="1:81">
      <c r="A804" s="820" t="s">
        <v>757</v>
      </c>
      <c r="B804" s="2491" t="s">
        <v>1304</v>
      </c>
      <c r="C804" s="2491"/>
      <c r="D804" s="2491"/>
      <c r="E804" s="2491"/>
      <c r="F804" s="2491"/>
      <c r="G804" s="2491"/>
      <c r="H804" s="2491"/>
      <c r="I804" s="2491"/>
      <c r="J804" s="2491"/>
      <c r="K804" s="2491"/>
      <c r="L804" s="2491"/>
      <c r="M804" s="2491"/>
      <c r="N804" s="2491"/>
      <c r="O804" s="2491"/>
      <c r="P804" s="2491"/>
      <c r="Q804" s="2491"/>
      <c r="R804" s="2491"/>
      <c r="S804" s="2492"/>
      <c r="T804" s="2493">
        <f>AK62</f>
        <v>0</v>
      </c>
      <c r="U804" s="2494"/>
      <c r="V804" s="2494"/>
      <c r="W804" s="2494"/>
      <c r="X804" s="2494"/>
      <c r="Y804" s="2495"/>
      <c r="Z804" s="2496">
        <v>20</v>
      </c>
      <c r="AA804" s="2494"/>
      <c r="AB804" s="2494"/>
      <c r="AC804" s="2494"/>
      <c r="AD804" s="2494"/>
      <c r="AE804" s="2495"/>
      <c r="AF804" s="2477">
        <f>IF(T804&gt;Z804,Z804,T804)</f>
        <v>0</v>
      </c>
      <c r="AG804" s="2477"/>
      <c r="AH804" s="2477"/>
      <c r="AI804" s="2477"/>
      <c r="AJ804" s="2477"/>
      <c r="AK804" s="2477"/>
      <c r="AL804" s="819"/>
      <c r="AM804" s="597"/>
      <c r="AO804" s="817"/>
      <c r="AP804" s="817"/>
      <c r="AQ804" s="817"/>
    </row>
    <row r="805" spans="1:81">
      <c r="A805" s="820" t="s">
        <v>1541</v>
      </c>
      <c r="B805" s="2491" t="s">
        <v>1313</v>
      </c>
      <c r="C805" s="2491"/>
      <c r="D805" s="2491"/>
      <c r="E805" s="2491"/>
      <c r="F805" s="2491"/>
      <c r="G805" s="2491"/>
      <c r="H805" s="2491"/>
      <c r="I805" s="2491"/>
      <c r="J805" s="2491"/>
      <c r="K805" s="2491"/>
      <c r="L805" s="2491"/>
      <c r="M805" s="2491"/>
      <c r="N805" s="2491"/>
      <c r="O805" s="2491"/>
      <c r="P805" s="2491"/>
      <c r="Q805" s="2491"/>
      <c r="R805" s="2491"/>
      <c r="S805" s="2492"/>
      <c r="T805" s="2493">
        <f>AK84</f>
        <v>10</v>
      </c>
      <c r="U805" s="2494"/>
      <c r="V805" s="2494"/>
      <c r="W805" s="2494"/>
      <c r="X805" s="2494"/>
      <c r="Y805" s="2495"/>
      <c r="Z805" s="2496">
        <v>10</v>
      </c>
      <c r="AA805" s="2494"/>
      <c r="AB805" s="2494"/>
      <c r="AC805" s="2494"/>
      <c r="AD805" s="2494"/>
      <c r="AE805" s="2495"/>
      <c r="AF805" s="2477">
        <f>IF(T805&gt;Z805,Z805,T805)</f>
        <v>10</v>
      </c>
      <c r="AG805" s="2477"/>
      <c r="AH805" s="2477"/>
      <c r="AI805" s="2477"/>
      <c r="AJ805" s="2477"/>
      <c r="AK805" s="2477"/>
      <c r="AL805" s="819"/>
      <c r="AM805" s="597"/>
      <c r="AO805" s="817"/>
      <c r="AP805" s="817"/>
      <c r="AQ805" s="817"/>
    </row>
    <row r="806" spans="1:81">
      <c r="A806" s="820" t="s">
        <v>1550</v>
      </c>
      <c r="B806" s="2491" t="s">
        <v>1323</v>
      </c>
      <c r="C806" s="2491"/>
      <c r="D806" s="2491"/>
      <c r="E806" s="2491"/>
      <c r="F806" s="2491"/>
      <c r="G806" s="2491"/>
      <c r="H806" s="2491"/>
      <c r="I806" s="2491"/>
      <c r="J806" s="2491"/>
      <c r="K806" s="2491"/>
      <c r="L806" s="2491"/>
      <c r="M806" s="2491"/>
      <c r="N806" s="2491"/>
      <c r="O806" s="2491"/>
      <c r="P806" s="2491"/>
      <c r="Q806" s="2491"/>
      <c r="R806" s="2491"/>
      <c r="S806" s="2492"/>
      <c r="T806" s="2493">
        <f ca="1">AK109</f>
        <v>20</v>
      </c>
      <c r="U806" s="2494"/>
      <c r="V806" s="2494"/>
      <c r="W806" s="2494"/>
      <c r="X806" s="2494"/>
      <c r="Y806" s="2495"/>
      <c r="Z806" s="2496">
        <v>20</v>
      </c>
      <c r="AA806" s="2494"/>
      <c r="AB806" s="2494"/>
      <c r="AC806" s="2494"/>
      <c r="AD806" s="2494"/>
      <c r="AE806" s="2495"/>
      <c r="AF806" s="2477">
        <f ca="1">IF(T806&gt;Z806,Z806,T806)</f>
        <v>20</v>
      </c>
      <c r="AG806" s="2477"/>
      <c r="AH806" s="2477"/>
      <c r="AI806" s="2477"/>
      <c r="AJ806" s="2477"/>
      <c r="AK806" s="2477"/>
      <c r="AL806" s="819"/>
      <c r="AM806" s="597"/>
      <c r="AO806" s="817"/>
      <c r="AP806" s="817"/>
      <c r="AQ806" s="817"/>
    </row>
    <row r="807" spans="1:81">
      <c r="A807" s="820" t="s">
        <v>1572</v>
      </c>
      <c r="B807" s="2491" t="s">
        <v>1333</v>
      </c>
      <c r="C807" s="2491"/>
      <c r="D807" s="2491"/>
      <c r="E807" s="2491"/>
      <c r="F807" s="2491"/>
      <c r="G807" s="2491"/>
      <c r="H807" s="2491"/>
      <c r="I807" s="2491"/>
      <c r="J807" s="2491"/>
      <c r="K807" s="2491"/>
      <c r="L807" s="2491"/>
      <c r="M807" s="2491"/>
      <c r="N807" s="2491"/>
      <c r="O807" s="2491"/>
      <c r="P807" s="2491"/>
      <c r="Q807" s="2491"/>
      <c r="R807" s="2491"/>
      <c r="S807" s="2492"/>
      <c r="T807" s="2493">
        <f>AK143</f>
        <v>10</v>
      </c>
      <c r="U807" s="2494"/>
      <c r="V807" s="2494"/>
      <c r="W807" s="2494"/>
      <c r="X807" s="2494"/>
      <c r="Y807" s="2495"/>
      <c r="Z807" s="2496">
        <v>10</v>
      </c>
      <c r="AA807" s="2494"/>
      <c r="AB807" s="2494"/>
      <c r="AC807" s="2494"/>
      <c r="AD807" s="2494"/>
      <c r="AE807" s="2495"/>
      <c r="AF807" s="2477">
        <f>IF(T807&gt;Z807,Z807,T807)</f>
        <v>10</v>
      </c>
      <c r="AG807" s="2477"/>
      <c r="AH807" s="2477"/>
      <c r="AI807" s="2477"/>
      <c r="AJ807" s="2477"/>
      <c r="AK807" s="2477"/>
      <c r="AL807" s="819"/>
      <c r="AM807" s="597"/>
      <c r="AO807" s="817"/>
      <c r="AP807" s="817"/>
      <c r="AQ807" s="817"/>
    </row>
    <row r="808" spans="1:81">
      <c r="A808" s="821" t="s">
        <v>1573</v>
      </c>
      <c r="B808" s="2491" t="s">
        <v>1574</v>
      </c>
      <c r="C808" s="2491"/>
      <c r="D808" s="2491"/>
      <c r="E808" s="2491"/>
      <c r="F808" s="2491"/>
      <c r="G808" s="2491"/>
      <c r="H808" s="2491"/>
      <c r="I808" s="2491"/>
      <c r="J808" s="2491"/>
      <c r="K808" s="2491"/>
      <c r="L808" s="2491"/>
      <c r="M808" s="2491"/>
      <c r="N808" s="2491"/>
      <c r="O808" s="2491"/>
      <c r="P808" s="2491"/>
      <c r="Q808" s="2491"/>
      <c r="R808" s="2491"/>
      <c r="S808" s="2492"/>
      <c r="T808" s="2517">
        <f>SUM(T809:Y810)</f>
        <v>10</v>
      </c>
      <c r="U808" s="2517"/>
      <c r="V808" s="2517"/>
      <c r="W808" s="2517"/>
      <c r="X808" s="2517"/>
      <c r="Y808" s="2517"/>
      <c r="Z808" s="2477">
        <v>10</v>
      </c>
      <c r="AA808" s="2477"/>
      <c r="AB808" s="2477"/>
      <c r="AC808" s="2477"/>
      <c r="AD808" s="2477"/>
      <c r="AE808" s="2477"/>
      <c r="AF808" s="2477">
        <f>IF(T808&gt;Z808,Z808,T808)</f>
        <v>10</v>
      </c>
      <c r="AG808" s="2477"/>
      <c r="AH808" s="2477"/>
      <c r="AI808" s="2477"/>
      <c r="AJ808" s="2477"/>
      <c r="AK808" s="2477"/>
      <c r="AL808" s="819"/>
      <c r="AM808" s="597"/>
    </row>
    <row r="809" spans="1:81">
      <c r="A809" s="536"/>
      <c r="B809" s="602"/>
      <c r="C809" s="2518" t="s">
        <v>1575</v>
      </c>
      <c r="D809" s="2518"/>
      <c r="E809" s="2518"/>
      <c r="F809" s="2518"/>
      <c r="G809" s="2518"/>
      <c r="H809" s="2518"/>
      <c r="I809" s="2518"/>
      <c r="J809" s="2518"/>
      <c r="K809" s="2518"/>
      <c r="L809" s="2518"/>
      <c r="M809" s="2518"/>
      <c r="N809" s="2518"/>
      <c r="O809" s="2518"/>
      <c r="P809" s="2518"/>
      <c r="Q809" s="2518"/>
      <c r="R809" s="2518"/>
      <c r="S809" s="2519"/>
      <c r="T809" s="2410">
        <f>AJ166</f>
        <v>7</v>
      </c>
      <c r="U809" s="2410"/>
      <c r="V809" s="2410"/>
      <c r="W809" s="2410"/>
      <c r="X809" s="2410"/>
      <c r="Y809" s="2410"/>
      <c r="Z809" s="2411">
        <v>7</v>
      </c>
      <c r="AA809" s="2411"/>
      <c r="AB809" s="2411"/>
      <c r="AC809" s="2411"/>
      <c r="AD809" s="2411"/>
      <c r="AE809" s="2411"/>
      <c r="AF809" s="2520"/>
      <c r="AG809" s="2520"/>
      <c r="AH809" s="2520"/>
      <c r="AI809" s="2520"/>
      <c r="AJ809" s="2520"/>
      <c r="AK809" s="2520"/>
      <c r="AL809" s="819"/>
      <c r="AM809" s="597"/>
    </row>
    <row r="810" spans="1:81">
      <c r="A810" s="601"/>
      <c r="B810" s="602"/>
      <c r="C810" s="2518" t="s">
        <v>1576</v>
      </c>
      <c r="D810" s="2518"/>
      <c r="E810" s="2518"/>
      <c r="F810" s="2518"/>
      <c r="G810" s="2518"/>
      <c r="H810" s="2518"/>
      <c r="I810" s="2518"/>
      <c r="J810" s="2518"/>
      <c r="K810" s="2518"/>
      <c r="L810" s="2518"/>
      <c r="M810" s="2518"/>
      <c r="N810" s="2518"/>
      <c r="O810" s="2518"/>
      <c r="P810" s="2518"/>
      <c r="Q810" s="2518"/>
      <c r="R810" s="2518"/>
      <c r="S810" s="2519"/>
      <c r="T810" s="2410">
        <f>AJ180</f>
        <v>3</v>
      </c>
      <c r="U810" s="2410"/>
      <c r="V810" s="2410"/>
      <c r="W810" s="2410"/>
      <c r="X810" s="2410"/>
      <c r="Y810" s="2410"/>
      <c r="Z810" s="2411">
        <v>3</v>
      </c>
      <c r="AA810" s="2411"/>
      <c r="AB810" s="2411"/>
      <c r="AC810" s="2411"/>
      <c r="AD810" s="2411"/>
      <c r="AE810" s="2411"/>
      <c r="AF810" s="2520"/>
      <c r="AG810" s="2520"/>
      <c r="AH810" s="2520"/>
      <c r="AI810" s="2520"/>
      <c r="AJ810" s="2520"/>
      <c r="AK810" s="2520"/>
      <c r="AL810" s="819"/>
      <c r="AM810" s="597"/>
      <c r="AO810" s="551"/>
    </row>
    <row r="811" spans="1:81">
      <c r="A811" s="821" t="s">
        <v>1361</v>
      </c>
      <c r="B811" s="2491" t="s">
        <v>1577</v>
      </c>
      <c r="C811" s="2491"/>
      <c r="D811" s="2491"/>
      <c r="E811" s="2491"/>
      <c r="F811" s="2491"/>
      <c r="G811" s="2491"/>
      <c r="H811" s="2491"/>
      <c r="I811" s="2491"/>
      <c r="J811" s="2491"/>
      <c r="K811" s="2491"/>
      <c r="L811" s="2491"/>
      <c r="M811" s="2491"/>
      <c r="N811" s="2491"/>
      <c r="O811" s="2491"/>
      <c r="P811" s="2491"/>
      <c r="Q811" s="2491"/>
      <c r="R811" s="2491"/>
      <c r="S811" s="2492"/>
      <c r="T811" s="2517">
        <f>AK191</f>
        <v>10</v>
      </c>
      <c r="U811" s="2517"/>
      <c r="V811" s="2517"/>
      <c r="W811" s="2517"/>
      <c r="X811" s="2517"/>
      <c r="Y811" s="2517"/>
      <c r="Z811" s="2477">
        <v>10</v>
      </c>
      <c r="AA811" s="2477"/>
      <c r="AB811" s="2477"/>
      <c r="AC811" s="2477"/>
      <c r="AD811" s="2477"/>
      <c r="AE811" s="2477"/>
      <c r="AF811" s="2477">
        <f>IF(T811&gt;Z811,Z811,T811)</f>
        <v>10</v>
      </c>
      <c r="AG811" s="2477"/>
      <c r="AH811" s="2477"/>
      <c r="AI811" s="2477"/>
      <c r="AJ811" s="2477"/>
      <c r="AK811" s="2477"/>
      <c r="AL811" s="819"/>
      <c r="AM811" s="597"/>
    </row>
    <row r="812" spans="1:81">
      <c r="A812" s="820" t="s">
        <v>1370</v>
      </c>
      <c r="B812" s="2491" t="s">
        <v>1371</v>
      </c>
      <c r="C812" s="2491"/>
      <c r="D812" s="2491"/>
      <c r="E812" s="2491"/>
      <c r="F812" s="2491"/>
      <c r="G812" s="2491"/>
      <c r="H812" s="2491"/>
      <c r="I812" s="2491"/>
      <c r="J812" s="2491"/>
      <c r="K812" s="2491"/>
      <c r="L812" s="2491"/>
      <c r="M812" s="2491"/>
      <c r="N812" s="2491"/>
      <c r="O812" s="2491"/>
      <c r="P812" s="2491"/>
      <c r="Q812" s="2491"/>
      <c r="R812" s="2491"/>
      <c r="S812" s="2492"/>
      <c r="T812" s="2517">
        <f>AK273</f>
        <v>8</v>
      </c>
      <c r="U812" s="2517"/>
      <c r="V812" s="2517"/>
      <c r="W812" s="2517"/>
      <c r="X812" s="2517"/>
      <c r="Y812" s="2517"/>
      <c r="Z812" s="2496">
        <v>8</v>
      </c>
      <c r="AA812" s="2494"/>
      <c r="AB812" s="2494"/>
      <c r="AC812" s="2494"/>
      <c r="AD812" s="2494"/>
      <c r="AE812" s="2495"/>
      <c r="AF812" s="2477">
        <f>IF(T812&gt;Z812,Z812,T812)</f>
        <v>8</v>
      </c>
      <c r="AG812" s="2477"/>
      <c r="AH812" s="2477"/>
      <c r="AI812" s="2477"/>
      <c r="AJ812" s="2477"/>
      <c r="AK812" s="2477"/>
      <c r="AL812" s="819"/>
      <c r="AM812" s="597"/>
    </row>
    <row r="813" spans="1:81" s="535" customFormat="1" hidden="1">
      <c r="A813" s="821" t="s">
        <v>589</v>
      </c>
      <c r="B813" s="2491" t="s">
        <v>1578</v>
      </c>
      <c r="C813" s="2491"/>
      <c r="D813" s="2491"/>
      <c r="E813" s="2491"/>
      <c r="F813" s="2491"/>
      <c r="G813" s="2491"/>
      <c r="H813" s="2491"/>
      <c r="I813" s="2491"/>
      <c r="J813" s="2491"/>
      <c r="K813" s="2491"/>
      <c r="L813" s="2491"/>
      <c r="M813" s="2491"/>
      <c r="N813" s="2491"/>
      <c r="O813" s="2491"/>
      <c r="P813" s="2491"/>
      <c r="Q813" s="2491"/>
      <c r="R813" s="2491"/>
      <c r="S813" s="2492"/>
      <c r="T813" s="2517">
        <f>IF(AK535&gt;5,5,AK535)</f>
        <v>0</v>
      </c>
      <c r="U813" s="2517"/>
      <c r="V813" s="2517"/>
      <c r="W813" s="2517"/>
      <c r="X813" s="2517"/>
      <c r="Y813" s="2517"/>
      <c r="Z813" s="2477">
        <v>5</v>
      </c>
      <c r="AA813" s="2477"/>
      <c r="AB813" s="2477"/>
      <c r="AC813" s="2477"/>
      <c r="AD813" s="2477"/>
      <c r="AE813" s="2477"/>
      <c r="AF813" s="2477">
        <f>IF(T813&gt;Z813,5,T813)</f>
        <v>0</v>
      </c>
      <c r="AG813" s="2477"/>
      <c r="AH813" s="2477"/>
      <c r="AI813" s="2477"/>
      <c r="AJ813" s="2477"/>
      <c r="AK813" s="247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91" t="s">
        <v>1579</v>
      </c>
      <c r="C814" s="2491"/>
      <c r="D814" s="2491"/>
      <c r="E814" s="2491"/>
      <c r="F814" s="2491"/>
      <c r="G814" s="2491"/>
      <c r="H814" s="2491"/>
      <c r="I814" s="2491"/>
      <c r="J814" s="2491"/>
      <c r="K814" s="2491"/>
      <c r="L814" s="2491"/>
      <c r="M814" s="2491"/>
      <c r="N814" s="2491"/>
      <c r="O814" s="2491"/>
      <c r="P814" s="2491"/>
      <c r="Q814" s="2491"/>
      <c r="R814" s="2491"/>
      <c r="S814" s="2492"/>
      <c r="T814" s="2517">
        <f>AK285</f>
        <v>10</v>
      </c>
      <c r="U814" s="2517"/>
      <c r="V814" s="2517"/>
      <c r="W814" s="2517"/>
      <c r="X814" s="2517"/>
      <c r="Y814" s="2517"/>
      <c r="Z814" s="2477">
        <v>10</v>
      </c>
      <c r="AA814" s="2477"/>
      <c r="AB814" s="2477"/>
      <c r="AC814" s="2477"/>
      <c r="AD814" s="2477"/>
      <c r="AE814" s="2477"/>
      <c r="AF814" s="2523">
        <f>IF(T814&gt;Z814,Z814,T814)</f>
        <v>10</v>
      </c>
      <c r="AG814" s="2524"/>
      <c r="AH814" s="2524"/>
      <c r="AI814" s="2524"/>
      <c r="AJ814" s="2524"/>
      <c r="AK814" s="252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91" t="s">
        <v>1381</v>
      </c>
      <c r="C815" s="2491"/>
      <c r="D815" s="2491"/>
      <c r="E815" s="2491"/>
      <c r="F815" s="2491"/>
      <c r="G815" s="2491"/>
      <c r="H815" s="2491"/>
      <c r="I815" s="2491"/>
      <c r="J815" s="2491"/>
      <c r="K815" s="2491"/>
      <c r="L815" s="2491"/>
      <c r="M815" s="2491"/>
      <c r="N815" s="2491"/>
      <c r="O815" s="2491"/>
      <c r="P815" s="2491"/>
      <c r="Q815" s="2491"/>
      <c r="R815" s="2491"/>
      <c r="S815" s="2492"/>
      <c r="T815" s="2517">
        <f>AK338</f>
        <v>9</v>
      </c>
      <c r="U815" s="2517"/>
      <c r="V815" s="2517"/>
      <c r="W815" s="2517"/>
      <c r="X815" s="2517"/>
      <c r="Y815" s="2517"/>
      <c r="Z815" s="2523">
        <v>10</v>
      </c>
      <c r="AA815" s="2524"/>
      <c r="AB815" s="2524"/>
      <c r="AC815" s="2524"/>
      <c r="AD815" s="2524"/>
      <c r="AE815" s="2525"/>
      <c r="AF815" s="2523">
        <f>IF(T815&gt;Z815,Z815,T815)</f>
        <v>9</v>
      </c>
      <c r="AG815" s="2524"/>
      <c r="AH815" s="2524"/>
      <c r="AI815" s="2524"/>
      <c r="AJ815" s="2524"/>
      <c r="AK815" s="252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0">
        <f>AK338</f>
        <v>9</v>
      </c>
      <c r="U816" s="2410"/>
      <c r="V816" s="2410"/>
      <c r="W816" s="2410"/>
      <c r="X816" s="2410"/>
      <c r="Y816" s="2410"/>
      <c r="Z816" s="2415">
        <v>20</v>
      </c>
      <c r="AA816" s="2416"/>
      <c r="AB816" s="2416"/>
      <c r="AC816" s="2416"/>
      <c r="AD816" s="2416"/>
      <c r="AE816" s="2417"/>
      <c r="AF816" s="2520"/>
      <c r="AG816" s="2520"/>
      <c r="AH816" s="2520"/>
      <c r="AI816" s="2520"/>
      <c r="AJ816" s="2520"/>
      <c r="AK816" s="252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91" t="s">
        <v>845</v>
      </c>
      <c r="C817" s="2491"/>
      <c r="D817" s="2491"/>
      <c r="E817" s="2491"/>
      <c r="F817" s="2491"/>
      <c r="G817" s="2491"/>
      <c r="H817" s="2491"/>
      <c r="I817" s="2491"/>
      <c r="J817" s="2491"/>
      <c r="K817" s="2491"/>
      <c r="L817" s="2491"/>
      <c r="M817" s="2491"/>
      <c r="N817" s="2491"/>
      <c r="O817" s="2491"/>
      <c r="P817" s="2491"/>
      <c r="Q817" s="2491"/>
      <c r="R817" s="2491"/>
      <c r="S817" s="2492"/>
      <c r="T817" s="2517">
        <f>AK469</f>
        <v>10</v>
      </c>
      <c r="U817" s="2517"/>
      <c r="V817" s="2517"/>
      <c r="W817" s="2517"/>
      <c r="X817" s="2517"/>
      <c r="Y817" s="2517"/>
      <c r="Z817" s="2523">
        <v>10</v>
      </c>
      <c r="AA817" s="2524"/>
      <c r="AB817" s="2524"/>
      <c r="AC817" s="2524"/>
      <c r="AD817" s="2524"/>
      <c r="AE817" s="2525"/>
      <c r="AF817" s="2477">
        <f>IF(T817&gt;Z817,Z817,T817)</f>
        <v>10</v>
      </c>
      <c r="AG817" s="2477"/>
      <c r="AH817" s="2477"/>
      <c r="AI817" s="2477"/>
      <c r="AJ817" s="2477"/>
      <c r="AK817" s="247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91" t="s">
        <v>1559</v>
      </c>
      <c r="C818" s="2491"/>
      <c r="D818" s="2491"/>
      <c r="E818" s="2491"/>
      <c r="F818" s="2491"/>
      <c r="G818" s="2491"/>
      <c r="H818" s="2491"/>
      <c r="I818" s="2491"/>
      <c r="J818" s="2491"/>
      <c r="K818" s="2491"/>
      <c r="L818" s="2491"/>
      <c r="M818" s="2491"/>
      <c r="N818" s="2491"/>
      <c r="O818" s="2491"/>
      <c r="P818" s="2491"/>
      <c r="Q818" s="2491"/>
      <c r="R818" s="2491"/>
      <c r="S818" s="2492"/>
      <c r="T818" s="2517">
        <f>AK559</f>
        <v>12</v>
      </c>
      <c r="U818" s="2517"/>
      <c r="V818" s="2517"/>
      <c r="W818" s="2517"/>
      <c r="X818" s="2517"/>
      <c r="Y818" s="2517"/>
      <c r="Z818" s="2523">
        <v>12</v>
      </c>
      <c r="AA818" s="2524"/>
      <c r="AB818" s="2524"/>
      <c r="AC818" s="2524"/>
      <c r="AD818" s="2524"/>
      <c r="AE818" s="2525"/>
      <c r="AF818" s="2477">
        <f>IF(T818&gt;Z818,Z818,T818)</f>
        <v>12</v>
      </c>
      <c r="AG818" s="2477"/>
      <c r="AH818" s="2477"/>
      <c r="AI818" s="2477"/>
      <c r="AJ818" s="2477"/>
      <c r="AK818" s="247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91" t="s">
        <v>1581</v>
      </c>
      <c r="C819" s="2491"/>
      <c r="D819" s="2491"/>
      <c r="E819" s="2491"/>
      <c r="F819" s="2491"/>
      <c r="G819" s="2491"/>
      <c r="H819" s="2491"/>
      <c r="I819" s="2491"/>
      <c r="J819" s="2491"/>
      <c r="K819" s="2491"/>
      <c r="L819" s="2491"/>
      <c r="M819" s="2491"/>
      <c r="N819" s="2491"/>
      <c r="O819" s="2491"/>
      <c r="P819" s="2491"/>
      <c r="Q819" s="2491"/>
      <c r="R819" s="2491"/>
      <c r="S819" s="2492"/>
      <c r="T819" s="2517">
        <f>AK794</f>
        <v>10</v>
      </c>
      <c r="U819" s="2517"/>
      <c r="V819" s="2517"/>
      <c r="W819" s="2517"/>
      <c r="X819" s="2517"/>
      <c r="Y819" s="2517"/>
      <c r="Z819" s="2523">
        <v>10</v>
      </c>
      <c r="AA819" s="2524"/>
      <c r="AB819" s="2524"/>
      <c r="AC819" s="2524"/>
      <c r="AD819" s="2524"/>
      <c r="AE819" s="2525"/>
      <c r="AF819" s="2477">
        <f>IF(T819&gt;Z819,Z819,T819)</f>
        <v>10</v>
      </c>
      <c r="AG819" s="2477"/>
      <c r="AH819" s="2477"/>
      <c r="AI819" s="2477"/>
      <c r="AJ819" s="2477"/>
      <c r="AK819" s="247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1" t="s">
        <v>1582</v>
      </c>
      <c r="B820" s="2491"/>
      <c r="C820" s="2491"/>
      <c r="D820" s="2491"/>
      <c r="E820" s="2491"/>
      <c r="F820" s="2491"/>
      <c r="G820" s="2491"/>
      <c r="H820" s="2491"/>
      <c r="I820" s="2491"/>
      <c r="J820" s="2491"/>
      <c r="K820" s="2491"/>
      <c r="L820" s="2491"/>
      <c r="M820" s="2491"/>
      <c r="N820" s="2491"/>
      <c r="O820" s="2491"/>
      <c r="P820" s="2491"/>
      <c r="Q820" s="2491"/>
      <c r="R820" s="2491"/>
      <c r="S820" s="2492"/>
      <c r="T820" s="2522"/>
      <c r="U820" s="2522"/>
      <c r="V820" s="2522"/>
      <c r="W820" s="2522"/>
      <c r="X820" s="2522"/>
      <c r="Y820" s="2522"/>
      <c r="Z820" s="2411" t="s">
        <v>1583</v>
      </c>
      <c r="AA820" s="2411"/>
      <c r="AB820" s="2411"/>
      <c r="AC820" s="2411"/>
      <c r="AD820" s="2411"/>
      <c r="AE820" s="2411"/>
      <c r="AF820" s="2523">
        <f>IF(T820&gt;0,T820,0)</f>
        <v>0</v>
      </c>
      <c r="AG820" s="2524"/>
      <c r="AH820" s="2524"/>
      <c r="AI820" s="2524"/>
      <c r="AJ820" s="2524"/>
      <c r="AK820" s="252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26" t="s">
        <v>1584</v>
      </c>
      <c r="B821" s="2527"/>
      <c r="C821" s="2527"/>
      <c r="D821" s="2527"/>
      <c r="E821" s="2527"/>
      <c r="F821" s="2527"/>
      <c r="G821" s="2527"/>
      <c r="H821" s="2527"/>
      <c r="I821" s="2527"/>
      <c r="J821" s="2527"/>
      <c r="K821" s="2527"/>
      <c r="L821" s="2527"/>
      <c r="M821" s="2527"/>
      <c r="N821" s="2527"/>
      <c r="O821" s="2527"/>
      <c r="P821" s="2527"/>
      <c r="Q821" s="2527"/>
      <c r="R821" s="2527"/>
      <c r="S821" s="2527"/>
      <c r="T821" s="2527"/>
      <c r="U821" s="2527"/>
      <c r="V821" s="2527"/>
      <c r="W821" s="2527"/>
      <c r="X821" s="2527"/>
      <c r="Y821" s="2527"/>
      <c r="Z821" s="2527"/>
      <c r="AA821" s="2527"/>
      <c r="AB821" s="2527"/>
      <c r="AC821" s="2527"/>
      <c r="AD821" s="2527"/>
      <c r="AE821" s="2528"/>
      <c r="AF821" s="2532">
        <f ca="1">SUM(AF804:AK819)-AF820</f>
        <v>119</v>
      </c>
      <c r="AG821" s="2533"/>
      <c r="AH821" s="2533"/>
      <c r="AI821" s="2533"/>
      <c r="AJ821" s="2533"/>
      <c r="AK821" s="253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29"/>
      <c r="B822" s="2530"/>
      <c r="C822" s="2530"/>
      <c r="D822" s="2530"/>
      <c r="E822" s="2530"/>
      <c r="F822" s="2530"/>
      <c r="G822" s="2530"/>
      <c r="H822" s="2530"/>
      <c r="I822" s="2530"/>
      <c r="J822" s="2530"/>
      <c r="K822" s="2530"/>
      <c r="L822" s="2530"/>
      <c r="M822" s="2530"/>
      <c r="N822" s="2530"/>
      <c r="O822" s="2530"/>
      <c r="P822" s="2530"/>
      <c r="Q822" s="2530"/>
      <c r="R822" s="2530"/>
      <c r="S822" s="2530"/>
      <c r="T822" s="2530"/>
      <c r="U822" s="2530"/>
      <c r="V822" s="2530"/>
      <c r="W822" s="2530"/>
      <c r="X822" s="2530"/>
      <c r="Y822" s="2530"/>
      <c r="Z822" s="2530"/>
      <c r="AA822" s="2530"/>
      <c r="AB822" s="2530"/>
      <c r="AC822" s="2530"/>
      <c r="AD822" s="2530"/>
      <c r="AE822" s="2531"/>
      <c r="AF822" s="2535"/>
      <c r="AG822" s="2536"/>
      <c r="AH822" s="2536"/>
      <c r="AI822" s="2536"/>
      <c r="AJ822" s="2536"/>
      <c r="AK822" s="253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wGKZ7F5TYUttOLSmtb/YwNylt5C9Po1hPhd2ywqO51WyT+Z5HZjBA49tBEEhS7j6Q6JcFn333ELD9ZUO9L1nBQ==" saltValue="78YY5rL1AJgPVBJ00lmlB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596" t="s">
        <v>1585</v>
      </c>
      <c r="B1" s="2596"/>
      <c r="C1" s="2596"/>
      <c r="D1" s="2596"/>
      <c r="E1" s="2596"/>
      <c r="F1" s="2596"/>
      <c r="G1" s="2596"/>
      <c r="H1" s="2596"/>
      <c r="I1" s="2596"/>
      <c r="J1" s="2596"/>
    </row>
    <row r="2" spans="1:13" ht="15" customHeight="1" thickBot="1">
      <c r="A2" s="1047"/>
      <c r="B2" s="1047"/>
      <c r="I2" s="1048"/>
      <c r="K2" s="1049"/>
    </row>
    <row r="3" spans="1:13" s="1052" customFormat="1" ht="19.95" customHeight="1">
      <c r="A3" s="1102"/>
      <c r="B3" s="1103"/>
      <c r="C3" s="1104"/>
      <c r="D3" s="1109"/>
      <c r="E3" s="1104"/>
      <c r="F3" s="1105" t="s">
        <v>1991</v>
      </c>
      <c r="G3" s="1104"/>
      <c r="H3" s="1106">
        <f>E18</f>
        <v>26450710</v>
      </c>
      <c r="I3" s="1107"/>
    </row>
    <row r="4" spans="1:13" s="1052" customFormat="1" ht="19.95" customHeight="1">
      <c r="B4" s="1096"/>
      <c r="D4" s="1110"/>
      <c r="F4" s="1094" t="s">
        <v>1993</v>
      </c>
      <c r="G4" s="1093" t="s">
        <v>1992</v>
      </c>
      <c r="H4" s="1095">
        <f>I18</f>
        <v>15982183.415032679</v>
      </c>
      <c r="I4" s="1097"/>
      <c r="K4" s="1056"/>
    </row>
    <row r="5" spans="1:13" s="1052" customFormat="1" ht="19.95" customHeight="1" thickBot="1">
      <c r="B5" s="1098"/>
      <c r="C5" s="1099"/>
      <c r="D5" s="1111"/>
      <c r="E5" s="1100"/>
      <c r="F5" s="1111" t="s">
        <v>1942</v>
      </c>
      <c r="G5" s="1112"/>
      <c r="H5" s="1108">
        <f>IFERROR(H3/H4,0)</f>
        <v>1.6550122916948089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9" t="s">
        <v>1940</v>
      </c>
      <c r="C8" s="2600"/>
      <c r="D8" s="2600"/>
      <c r="E8" s="2601"/>
      <c r="G8" s="2602" t="s">
        <v>1941</v>
      </c>
      <c r="H8" s="2603"/>
      <c r="I8" s="2604"/>
      <c r="K8" s="1058"/>
    </row>
    <row r="9" spans="1:13" ht="15" customHeight="1">
      <c r="A9" s="1047"/>
      <c r="B9" s="2597" t="s">
        <v>1974</v>
      </c>
      <c r="C9" s="2597"/>
      <c r="D9" s="2597"/>
      <c r="E9" s="1060">
        <f>G33</f>
        <v>6312500</v>
      </c>
      <c r="G9" s="2605" t="s">
        <v>1972</v>
      </c>
      <c r="H9" s="2605"/>
      <c r="I9" s="1061">
        <f>Application!AM554</f>
        <v>17975000</v>
      </c>
      <c r="K9" s="1062"/>
      <c r="M9" s="1063"/>
    </row>
    <row r="10" spans="1:13" ht="15" customHeight="1" thickBot="1">
      <c r="A10" s="1047"/>
      <c r="B10" s="2597" t="s">
        <v>1975</v>
      </c>
      <c r="C10" s="2597"/>
      <c r="D10" s="2597"/>
      <c r="E10" s="1061">
        <f>G47</f>
        <v>12216960</v>
      </c>
      <c r="G10" s="2609" t="s">
        <v>1943</v>
      </c>
      <c r="H10" s="2609"/>
      <c r="I10" s="1142">
        <f>'Basis &amp; Credits'!AB78</f>
        <v>0</v>
      </c>
      <c r="M10" s="1063"/>
    </row>
    <row r="11" spans="1:13" ht="15" customHeight="1">
      <c r="A11" s="1047"/>
      <c r="B11" s="2613" t="s">
        <v>2266</v>
      </c>
      <c r="C11" s="2614"/>
      <c r="D11" s="2615"/>
      <c r="E11" s="1061">
        <f>SUM(E12,E13)</f>
        <v>220000</v>
      </c>
      <c r="G11" s="2612" t="s">
        <v>1983</v>
      </c>
      <c r="H11" s="2612"/>
      <c r="I11" s="1141">
        <f>I9+I10</f>
        <v>17975000</v>
      </c>
      <c r="M11" s="1063"/>
    </row>
    <row r="12" spans="1:13" ht="15" customHeight="1">
      <c r="A12" s="1064"/>
      <c r="B12" s="2598" t="s">
        <v>2268</v>
      </c>
      <c r="C12" s="2598"/>
      <c r="D12" s="2598"/>
      <c r="E12" s="1167">
        <f>G56</f>
        <v>0</v>
      </c>
      <c r="M12" s="1063"/>
    </row>
    <row r="13" spans="1:13" ht="15" customHeight="1">
      <c r="A13" s="1050"/>
      <c r="B13" s="2598" t="s">
        <v>2269</v>
      </c>
      <c r="C13" s="2598"/>
      <c r="D13" s="2598"/>
      <c r="E13" s="1167">
        <f>G65</f>
        <v>220000</v>
      </c>
      <c r="G13" s="2602" t="s">
        <v>2007</v>
      </c>
      <c r="H13" s="2603"/>
      <c r="I13" s="2604"/>
      <c r="M13" s="1063"/>
    </row>
    <row r="14" spans="1:13" ht="15" customHeight="1">
      <c r="A14" s="1050"/>
      <c r="B14" s="2613" t="s">
        <v>2267</v>
      </c>
      <c r="C14" s="2614"/>
      <c r="D14" s="2615"/>
      <c r="E14" s="1169">
        <f>MAX(E15,E16)+E17</f>
        <v>7701250</v>
      </c>
      <c r="G14" s="2605" t="s">
        <v>139</v>
      </c>
      <c r="H14" s="2605"/>
      <c r="I14" s="1065">
        <f>15%*(AND(G120="Yes",G122&lt;&gt;""))</f>
        <v>0</v>
      </c>
      <c r="M14" s="1063"/>
    </row>
    <row r="15" spans="1:13" ht="15" customHeight="1">
      <c r="A15" s="1050"/>
      <c r="B15" s="2616" t="s">
        <v>2273</v>
      </c>
      <c r="C15" s="2617"/>
      <c r="D15" s="2618"/>
      <c r="E15" s="1167">
        <f>G80</f>
        <v>0</v>
      </c>
      <c r="G15" s="1139" t="s">
        <v>1984</v>
      </c>
      <c r="H15" s="1139"/>
      <c r="I15" s="1065">
        <f>IF(Application!AJ1032&gt;0,10%,IF(Application!AJ1036&gt;0,5%,0))</f>
        <v>0.05</v>
      </c>
      <c r="M15" s="1063"/>
    </row>
    <row r="16" spans="1:13" ht="15" customHeight="1">
      <c r="A16" s="1050"/>
      <c r="B16" s="2616" t="s">
        <v>2272</v>
      </c>
      <c r="C16" s="2617"/>
      <c r="D16" s="2618"/>
      <c r="E16" s="1167">
        <f>G90</f>
        <v>0</v>
      </c>
      <c r="G16" s="2605" t="s">
        <v>1985</v>
      </c>
      <c r="H16" s="2605"/>
      <c r="I16" s="1065">
        <f>G132</f>
        <v>6.0866013071895424E-2</v>
      </c>
    </row>
    <row r="17" spans="1:21" ht="15" customHeight="1" thickBot="1">
      <c r="A17" s="1050"/>
      <c r="B17" s="2616" t="s">
        <v>2271</v>
      </c>
      <c r="C17" s="2617"/>
      <c r="D17" s="2618"/>
      <c r="E17" s="1167">
        <f>G115</f>
        <v>7701250</v>
      </c>
      <c r="G17" s="2605" t="s">
        <v>2281</v>
      </c>
      <c r="H17" s="2605"/>
      <c r="I17" s="1065">
        <f>IF(AND(G139="Yes",OR(G136,G137)),IF(G143&gt;15%,15%,G143),0)</f>
        <v>0</v>
      </c>
    </row>
    <row r="18" spans="1:21" ht="15" customHeight="1">
      <c r="A18" s="1047"/>
      <c r="B18" s="2608" t="s">
        <v>1939</v>
      </c>
      <c r="C18" s="2608"/>
      <c r="D18" s="2608"/>
      <c r="E18" s="1113">
        <f>SUM(E9:E11,E14)</f>
        <v>26450710</v>
      </c>
      <c r="G18" s="1140" t="s">
        <v>1973</v>
      </c>
      <c r="H18" s="1140"/>
      <c r="I18" s="1114">
        <f>I11-((I11*I14)+(I11*I15)+(I11*I16)+(I11*I17))</f>
        <v>15982183.415032679</v>
      </c>
      <c r="M18" s="1066">
        <f>SUM(Cdlac[Quantity])</f>
        <v>101</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11</v>
      </c>
      <c r="N20" s="1072">
        <f>Application!AC718</f>
        <v>0.3</v>
      </c>
      <c r="O20" s="1072">
        <f>IF(Cdlac[[#This Row],[Quantity]]&gt;0,IF(Cdlac[[#This Row],[Federal]],30%,IF(AND(OR(NOT($G$38),$G$38=""),$G$43),40%,Cdlac[[#This Row],[iAMI]])),"")</f>
        <v>0.3</v>
      </c>
      <c r="P20" s="1066" cm="1">
        <f t="array" ref="P20">IF(Cdlac[[#This Row],[Quantity]]&gt;0,INDEX(TcacRents,$P$18,Cdlac[[#This Row],[Bedrooms]]+1)*Cdlac[[#This Row],[AMI]],"")</f>
        <v>936</v>
      </c>
      <c r="Q20" s="1166"/>
      <c r="R20" s="1066" cm="1">
        <f t="array" ref="R20">IF(Cdlac[[#This Row],[Quantity]]&gt;0,INDEX(HudFmrs,$P$18,Cdlac[[#This Row],[Bedrooms]]+1),"")</f>
        <v>2544</v>
      </c>
      <c r="S20" s="1066">
        <f>IF(Cdlac[[#This Row],[Quantity]]&gt;0,MAX(0,Cdlac[[#This Row],[Fair Market Rent]]-IF(AND($G$37,$G$38,$G$38&lt;&gt;"",NOT(Cdlac[[#This Row],[Federal]]),Cdlac[[#This Row],[Preservation Rent]]&lt;&gt;""),Cdlac[[#This Row],[Preservation Rent]],Cdlac[[#This Row],[Restricted Rent]])),"")</f>
        <v>1608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11</v>
      </c>
      <c r="N21" s="1072">
        <f>Application!AC719</f>
        <v>0.5</v>
      </c>
      <c r="O21" s="1072">
        <f>IF(Cdlac[[#This Row],[Quantity]]&gt;0,IF(Cdlac[[#This Row],[Federal]],30%,IF(AND(OR(NOT($G$38),$G$38=""),$G$43),40%,Cdlac[[#This Row],[iAMI]])),"")</f>
        <v>0.5</v>
      </c>
      <c r="P21" s="1066" cm="1">
        <f t="array" ref="P21">IF(Cdlac[[#This Row],[Quantity]]&gt;0,INDEX(TcacRents,$P$18,Cdlac[[#This Row],[Bedrooms]]+1)*Cdlac[[#This Row],[AMI]],"")</f>
        <v>1560</v>
      </c>
      <c r="Q21" s="1166"/>
      <c r="R21" s="1066" cm="1">
        <f t="array" ref="R21">IF(Cdlac[[#This Row],[Quantity]]&gt;0,INDEX(HudFmrs,$P$18,Cdlac[[#This Row],[Bedrooms]]+1),"")</f>
        <v>2544</v>
      </c>
      <c r="S21" s="1066">
        <f>IF(Cdlac[[#This Row],[Quantity]]&gt;0,MAX(0,Cdlac[[#This Row],[Fair Market Rent]]-IF(AND($G$37,$G$38,$G$38&lt;&gt;"",NOT(Cdlac[[#This Row],[Federal]]),Cdlac[[#This Row],[Preservation Rent]]&lt;&gt;""),Cdlac[[#This Row],[Preservation Rent]],Cdlac[[#This Row],[Restricted Rent]])),"")</f>
        <v>984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6" t="s">
        <v>1987</v>
      </c>
      <c r="D22" s="2606" t="s">
        <v>1988</v>
      </c>
      <c r="E22" s="2606" t="s">
        <v>1989</v>
      </c>
      <c r="F22" s="2606" t="s">
        <v>1990</v>
      </c>
      <c r="G22" s="2606" t="s">
        <v>1986</v>
      </c>
      <c r="H22" s="1071"/>
      <c r="I22" s="1070"/>
      <c r="L22" s="1045">
        <f>IFERROR(MIN(4,MATCH(Application!B720,UnitSizes,0)-1),"")</f>
        <v>2</v>
      </c>
      <c r="M22" s="1066">
        <f>Application!G720</f>
        <v>35</v>
      </c>
      <c r="N22" s="1072">
        <f>Application!AC720</f>
        <v>0.6</v>
      </c>
      <c r="O22" s="1072">
        <f>IF(Cdlac[[#This Row],[Quantity]]&gt;0,IF(Cdlac[[#This Row],[Federal]],30%,IF(AND(OR(NOT($G$38),$G$38=""),$G$43),40%,Cdlac[[#This Row],[iAMI]])),"")</f>
        <v>0.6</v>
      </c>
      <c r="P22" s="1066" cm="1">
        <f t="array" ref="P22">IF(Cdlac[[#This Row],[Quantity]]&gt;0,INDEX(TcacRents,$P$18,Cdlac[[#This Row],[Bedrooms]]+1)*Cdlac[[#This Row],[AMI]],"")</f>
        <v>1872</v>
      </c>
      <c r="Q22" s="1166"/>
      <c r="R22" s="1066" cm="1">
        <f t="array" ref="R22">IF(Cdlac[[#This Row],[Quantity]]&gt;0,INDEX(HudFmrs,$P$18,Cdlac[[#This Row],[Bedrooms]]+1),"")</f>
        <v>2544</v>
      </c>
      <c r="S22" s="1066">
        <f>IF(Cdlac[[#This Row],[Quantity]]&gt;0,MAX(0,Cdlac[[#This Row],[Fair Market Rent]]-IF(AND($G$37,$G$38,$G$38&lt;&gt;"",NOT(Cdlac[[#This Row],[Federal]]),Cdlac[[#This Row],[Preservation Rent]]&lt;&gt;""),Cdlac[[#This Row],[Preservation Rent]],Cdlac[[#This Row],[Restricted Rent]])),"")</f>
        <v>672</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7"/>
      <c r="D23" s="2607"/>
      <c r="E23" s="2607"/>
      <c r="F23" s="2607"/>
      <c r="G23" s="2607"/>
      <c r="H23" s="1071"/>
      <c r="I23" s="1070"/>
      <c r="L23" s="1045">
        <f>IFERROR(MIN(4,MATCH(Application!B721,UnitSizes,0)-1),"")</f>
        <v>2</v>
      </c>
      <c r="M23" s="1066">
        <f>Application!G721</f>
        <v>44</v>
      </c>
      <c r="N23" s="1072">
        <f>Application!AC721</f>
        <v>0.7</v>
      </c>
      <c r="O23" s="1072">
        <f>IF(Cdlac[[#This Row],[Quantity]]&gt;0,IF(Cdlac[[#This Row],[Federal]],30%,IF(AND(OR(NOT($G$38),$G$38=""),$G$43),40%,Cdlac[[#This Row],[iAMI]])),"")</f>
        <v>0.7</v>
      </c>
      <c r="P23" s="1066" cm="1">
        <f t="array" ref="P23">IF(Cdlac[[#This Row],[Quantity]]&gt;0,INDEX(TcacRents,$P$18,Cdlac[[#This Row],[Bedrooms]]+1)*Cdlac[[#This Row],[AMI]],"")</f>
        <v>2184</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360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101</v>
      </c>
      <c r="F26" s="1076">
        <f>SUM(E26:E28)-SUM(F27:F28)</f>
        <v>101</v>
      </c>
      <c r="G26" s="1073">
        <f>D26*F26</f>
        <v>126.25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0" t="s">
        <v>1586</v>
      </c>
      <c r="D29" s="2621"/>
      <c r="E29" s="1091">
        <f>SUM(E24:E28)</f>
        <v>101</v>
      </c>
      <c r="F29" s="1091">
        <f>SUM(F24:F28)</f>
        <v>101</v>
      </c>
      <c r="G29" s="1092">
        <f>SUMPRODUCT(D24:D28,F24:F28)</f>
        <v>126.25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126.25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6312500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3" t="str">
        <f>IF(AND(G37,G38,G38&lt;&gt;""),"Enter the average rent charged for each unit type over the last three years, as documented with rent rolls or property audits, in cells Q20:Q44","")</f>
        <v/>
      </c>
      <c r="D39" s="2623"/>
      <c r="E39" s="2623"/>
      <c r="F39" s="2623"/>
      <c r="G39" s="2623"/>
      <c r="H39" s="262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3"/>
      <c r="D40" s="2623"/>
      <c r="E40" s="2623"/>
      <c r="F40" s="2623"/>
      <c r="G40" s="2623"/>
      <c r="H40" s="262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3"/>
      <c r="D41" s="2623"/>
      <c r="E41" s="2623"/>
      <c r="F41" s="2623"/>
      <c r="G41" s="2623"/>
      <c r="H41" s="262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67872</v>
      </c>
    </row>
    <row r="46" spans="1:21" ht="15" customHeight="1">
      <c r="E46" s="1119" t="s">
        <v>2006</v>
      </c>
      <c r="F46" s="1115" t="s">
        <v>1994</v>
      </c>
      <c r="G46" s="1123">
        <f>12*15</f>
        <v>180</v>
      </c>
    </row>
    <row r="47" spans="1:21" ht="15" customHeight="1">
      <c r="E47" s="1124" t="s">
        <v>1944</v>
      </c>
      <c r="F47" s="1047"/>
      <c r="G47" s="1125">
        <f>G45*G46</f>
        <v>12216960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50</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11</v>
      </c>
    </row>
    <row r="61" spans="2:9" ht="15" customHeight="1">
      <c r="E61" s="1119" t="s">
        <v>1996</v>
      </c>
      <c r="G61" s="1080">
        <f>ROUNDDOWN(E29*50%,0)</f>
        <v>50</v>
      </c>
    </row>
    <row r="62" spans="2:9" ht="15" customHeight="1">
      <c r="E62" s="1119"/>
      <c r="G62" s="1080"/>
    </row>
    <row r="63" spans="2:9" ht="15" customHeight="1">
      <c r="E63" s="1119" t="s">
        <v>1955</v>
      </c>
      <c r="G63" s="1116">
        <f>MIN(G60:G61)</f>
        <v>11</v>
      </c>
    </row>
    <row r="64" spans="2:9" ht="15" customHeight="1">
      <c r="E64" s="1119" t="s">
        <v>1945</v>
      </c>
      <c r="F64" s="1115" t="s">
        <v>1994</v>
      </c>
      <c r="G64" s="1126">
        <v>20000</v>
      </c>
    </row>
    <row r="65" spans="2:14" ht="15" customHeight="1">
      <c r="E65" s="1120" t="s">
        <v>1977</v>
      </c>
      <c r="F65" s="1047"/>
      <c r="G65" s="1125">
        <f>G63*G64</f>
        <v>220000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593" t="s">
        <v>1970</v>
      </c>
      <c r="M72" s="2594"/>
      <c r="N72" s="1133">
        <v>30000</v>
      </c>
    </row>
    <row r="73" spans="2:14" ht="15" customHeight="1">
      <c r="C73" s="2595" t="s">
        <v>2265</v>
      </c>
      <c r="D73" s="2595"/>
      <c r="E73" s="2595"/>
      <c r="F73" s="2595"/>
      <c r="G73" s="1044"/>
      <c r="L73" s="2610" t="s">
        <v>1938</v>
      </c>
      <c r="M73" s="2611"/>
      <c r="N73" s="1134">
        <v>20000</v>
      </c>
    </row>
    <row r="74" spans="2:14" ht="15" customHeight="1" thickBot="1">
      <c r="C74" s="2595"/>
      <c r="D74" s="2595"/>
      <c r="E74" s="2595"/>
      <c r="F74" s="2595"/>
      <c r="L74" s="2585" t="s">
        <v>1971</v>
      </c>
      <c r="M74" s="2586"/>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126.25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126.25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126.25</v>
      </c>
    </row>
    <row r="97" spans="2:14" ht="15" customHeight="1">
      <c r="E97" s="1120" t="s">
        <v>1962</v>
      </c>
      <c r="F97" s="1047"/>
      <c r="G97" s="1125">
        <f>G94*G95*G96</f>
        <v>3535000</v>
      </c>
      <c r="L97" s="1129" t="str">
        <f>'Points System'!H638</f>
        <v>(i)</v>
      </c>
      <c r="M97" s="2591" t="s">
        <v>1405</v>
      </c>
      <c r="N97" s="2592"/>
    </row>
    <row r="98" spans="2:14" ht="15" customHeight="1">
      <c r="C98" s="1078"/>
      <c r="G98" s="1116"/>
      <c r="L98" s="1130" t="str">
        <f>'Points System'!H650</f>
        <v>(i)</v>
      </c>
      <c r="M98" s="2587" t="s">
        <v>1957</v>
      </c>
      <c r="N98" s="2588"/>
    </row>
    <row r="99" spans="2:14" ht="15" customHeight="1">
      <c r="E99" s="1086" t="s">
        <v>1999</v>
      </c>
      <c r="G99" s="1128">
        <f>COUNTIFS(L97:L104,"(i)")</f>
        <v>2</v>
      </c>
      <c r="L99" s="1130" t="str">
        <f>'Points System'!H685</f>
        <v>(ii)</v>
      </c>
      <c r="M99" s="2587" t="s">
        <v>1958</v>
      </c>
      <c r="N99" s="2588"/>
    </row>
    <row r="100" spans="2:14" ht="15" customHeight="1">
      <c r="E100" s="1086" t="s">
        <v>1945</v>
      </c>
      <c r="F100" s="1115" t="s">
        <v>1994</v>
      </c>
      <c r="G100" s="1126">
        <v>4000</v>
      </c>
      <c r="L100" s="1130" t="str">
        <f>IF(OR('Points System'!H709="(ii)",'Points System'!H709="(i)"),"(i)","N/A")</f>
        <v>N/A</v>
      </c>
      <c r="M100" s="2587" t="s">
        <v>1959</v>
      </c>
      <c r="N100" s="2588"/>
    </row>
    <row r="101" spans="2:14" ht="15" customHeight="1">
      <c r="E101" s="1120" t="s">
        <v>1963</v>
      </c>
      <c r="F101" s="1047"/>
      <c r="G101" s="1125">
        <f>G96*G99*G100</f>
        <v>1010000</v>
      </c>
      <c r="L101" s="1131" t="str">
        <f>'Points System'!H723</f>
        <v>N/A</v>
      </c>
      <c r="M101" s="2587" t="s">
        <v>1431</v>
      </c>
      <c r="N101" s="2588"/>
    </row>
    <row r="102" spans="2:14" ht="15" customHeight="1">
      <c r="L102" s="1130" t="str">
        <f>'Points System'!H735</f>
        <v>N/A</v>
      </c>
      <c r="M102" s="2587" t="s">
        <v>1960</v>
      </c>
      <c r="N102" s="2588"/>
    </row>
    <row r="103" spans="2:14" ht="15" customHeight="1">
      <c r="C103" s="1081" t="s">
        <v>1965</v>
      </c>
      <c r="L103" s="1130" t="str">
        <f>'Points System'!H751</f>
        <v>N/A</v>
      </c>
      <c r="M103" s="2587" t="s">
        <v>1961</v>
      </c>
      <c r="N103" s="2588"/>
    </row>
    <row r="104" spans="2:14" ht="15" customHeight="1" thickBot="1">
      <c r="C104" s="1078" t="s">
        <v>1966</v>
      </c>
      <c r="G104" s="1044"/>
      <c r="L104" s="1132" t="str">
        <f>'Points System'!H763</f>
        <v>N/A</v>
      </c>
      <c r="M104" s="2589" t="s">
        <v>1434</v>
      </c>
      <c r="N104" s="2590"/>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126.25</v>
      </c>
    </row>
    <row r="112" spans="2:14" ht="15" customHeight="1">
      <c r="E112" s="1086" t="s">
        <v>1945</v>
      </c>
      <c r="F112" s="1115" t="s">
        <v>1994</v>
      </c>
      <c r="G112" s="1126">
        <v>25000</v>
      </c>
    </row>
    <row r="113" spans="2:9" ht="15" customHeight="1">
      <c r="E113" s="1120" t="s">
        <v>1964</v>
      </c>
      <c r="F113" s="1047"/>
      <c r="G113" s="1125">
        <f>G109*G112*G96</f>
        <v>3156250</v>
      </c>
    </row>
    <row r="114" spans="2:9" ht="15" customHeight="1">
      <c r="C114" s="1078"/>
      <c r="E114" s="1078"/>
    </row>
    <row r="115" spans="2:9" ht="15" customHeight="1">
      <c r="E115" s="1120" t="s">
        <v>2275</v>
      </c>
      <c r="G115" s="1125">
        <f>G113+G101+G97</f>
        <v>7701250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2" t="s">
        <v>2230</v>
      </c>
      <c r="D119" s="2622"/>
      <c r="E119" s="2622"/>
      <c r="F119" s="2622"/>
    </row>
    <row r="120" spans="2:9" ht="15" customHeight="1">
      <c r="C120" s="2622"/>
      <c r="D120" s="2622"/>
      <c r="E120" s="2622"/>
      <c r="F120" s="2622"/>
      <c r="G120" s="1044"/>
    </row>
    <row r="121" spans="2:9" ht="15" customHeight="1"/>
    <row r="122" spans="2:9" ht="15" customHeight="1">
      <c r="C122" s="1045" t="s">
        <v>2232</v>
      </c>
      <c r="G122" s="2624"/>
      <c r="H122" s="2624"/>
    </row>
    <row r="123" spans="2:9" ht="15" customHeight="1">
      <c r="G123" s="2624"/>
      <c r="H123" s="2624"/>
    </row>
    <row r="124" spans="2:9" ht="15" customHeight="1">
      <c r="G124" s="2625"/>
      <c r="H124" s="262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19" t="s">
        <v>2278</v>
      </c>
      <c r="D138" s="2619"/>
      <c r="E138" s="2619"/>
      <c r="F138" s="2619"/>
    </row>
    <row r="139" spans="2:9">
      <c r="B139" s="1046"/>
      <c r="C139" s="2619"/>
      <c r="D139" s="2619"/>
      <c r="E139" s="2619"/>
      <c r="F139" s="2619"/>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2696250</v>
      </c>
    </row>
  </sheetData>
  <sheetProtection algorithmName="SHA-512" hashValue="coqxM4Vl5d5YFeNCb+jKlURwy5G/QtCvB2in1cCM5vsz0IOrhKLqhnAGmDD5Mo5+QsIF4YJMb+HiUThXdbFPuA==" saltValue="JeDn1mqE+n2ocxnegoIYB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vt:lpstr>
      <vt:lpstr>Application Checklist</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2025-02-03T17:54:49Z</dcterms:modified>
</cp:coreProperties>
</file>