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0 3900 Thorton\"/>
    </mc:Choice>
  </mc:AlternateContent>
  <xr:revisionPtr revIDLastSave="0" documentId="13_ncr:1_{14EC5987-712F-4A19-93B5-7C7F258D7834}" xr6:coauthVersionLast="47" xr6:coauthVersionMax="47" xr10:uidLastSave="{00000000-0000-0000-0000-000000000000}"/>
  <bookViews>
    <workbookView xWindow="8680" yWindow="0" windowWidth="10520" windowHeight="10200" tabRatio="840"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Forma'!$A$1:$AH$81</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Forma'!$A$1:$AH$81</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7" i="21"/>
  <c r="E76" i="7"/>
  <c r="T627" i="3" l="1"/>
  <c r="Q627" i="3"/>
  <c r="C79" i="4" l="1"/>
  <c r="S79" i="4" s="1"/>
  <c r="D79" i="4"/>
  <c r="Z900" i="3"/>
  <c r="Z899" i="3"/>
  <c r="E75" i="7"/>
  <c r="C74" i="7"/>
  <c r="S95" i="4"/>
  <c r="S69" i="4"/>
  <c r="S65" i="4"/>
  <c r="S50" i="4"/>
  <c r="D94" i="4"/>
  <c r="C94" i="4"/>
  <c r="S94" i="4" s="1"/>
  <c r="D93" i="4"/>
  <c r="C93" i="4"/>
  <c r="S93" i="4" s="1"/>
  <c r="D92" i="4"/>
  <c r="C92" i="4"/>
  <c r="S92" i="4" s="1"/>
  <c r="C90" i="4"/>
  <c r="C89" i="4"/>
  <c r="S89" i="4" s="1"/>
  <c r="C88" i="4"/>
  <c r="D86" i="4"/>
  <c r="C86" i="4"/>
  <c r="S86" i="4" s="1"/>
  <c r="D85" i="4"/>
  <c r="C85" i="4"/>
  <c r="S85" i="4" s="1"/>
  <c r="D84" i="4"/>
  <c r="C84" i="4"/>
  <c r="S84" i="4" s="1"/>
  <c r="D80" i="4"/>
  <c r="C80" i="4"/>
  <c r="S80" i="4" s="1"/>
  <c r="C76" i="4"/>
  <c r="C75" i="4"/>
  <c r="D65" i="4"/>
  <c r="C65" i="4"/>
  <c r="D69" i="4"/>
  <c r="C69" i="4"/>
  <c r="C58" i="4"/>
  <c r="C56" i="4"/>
  <c r="D53" i="4"/>
  <c r="C53" i="4"/>
  <c r="S53" i="4" s="1"/>
  <c r="D52" i="4"/>
  <c r="C52" i="4"/>
  <c r="S52" i="4" s="1"/>
  <c r="D51" i="4"/>
  <c r="C51" i="4"/>
  <c r="S51" i="4" s="1"/>
  <c r="D50" i="4"/>
  <c r="C50" i="4"/>
  <c r="D43" i="4"/>
  <c r="C43" i="4"/>
  <c r="S43" i="4" s="1"/>
  <c r="D40" i="4"/>
  <c r="C40" i="4"/>
  <c r="S40" i="4" s="1"/>
  <c r="G74" i="7" l="1"/>
  <c r="G75" i="7" s="1"/>
  <c r="C76" i="7"/>
  <c r="G76" i="7"/>
  <c r="I76" i="7" s="1"/>
  <c r="K76" i="7" s="1"/>
  <c r="M76" i="7" s="1"/>
  <c r="O76" i="7" s="1"/>
  <c r="Q76" i="7" s="1"/>
  <c r="S76" i="7" s="1"/>
  <c r="U76" i="7" s="1"/>
  <c r="W76" i="7" s="1"/>
  <c r="Y76" i="7" s="1"/>
  <c r="AA76" i="7" s="1"/>
  <c r="AC76" i="7" s="1"/>
  <c r="AE76" i="7" s="1"/>
  <c r="AG76" i="7" s="1"/>
  <c r="E77" i="7"/>
  <c r="I74" i="7"/>
  <c r="K74" i="7" s="1"/>
  <c r="K75" i="7" s="1"/>
  <c r="M74" i="7"/>
  <c r="D36" i="4"/>
  <c r="C36" i="4"/>
  <c r="G36" i="4" s="1"/>
  <c r="D37" i="4"/>
  <c r="C37" i="4"/>
  <c r="G37" i="4" s="1"/>
  <c r="D35" i="4"/>
  <c r="C35" i="4"/>
  <c r="G35" i="4" s="1"/>
  <c r="D32" i="4"/>
  <c r="D33" i="4" s="1"/>
  <c r="C32" i="4"/>
  <c r="G32" i="4" s="1"/>
  <c r="D31" i="4"/>
  <c r="C31" i="4"/>
  <c r="G31" i="4" s="1"/>
  <c r="D29" i="4"/>
  <c r="C29" i="4"/>
  <c r="D10" i="4"/>
  <c r="C10" i="4"/>
  <c r="G77" i="7" l="1"/>
  <c r="I75" i="7"/>
  <c r="K77" i="7"/>
  <c r="I77" i="7"/>
  <c r="C33" i="4"/>
  <c r="G33" i="4" s="1"/>
  <c r="H10" i="4"/>
  <c r="S10" i="4"/>
  <c r="O74" i="7"/>
  <c r="M75" i="7"/>
  <c r="M77" i="7" s="1"/>
  <c r="AC886" i="3"/>
  <c r="W627" i="3"/>
  <c r="AO633" i="3"/>
  <c r="L99" i="4" s="1"/>
  <c r="AO628" i="3"/>
  <c r="AF628" i="3"/>
  <c r="E41" i="7" s="1"/>
  <c r="AF627" i="3"/>
  <c r="AO627" i="3"/>
  <c r="F30" i="4" s="1"/>
  <c r="AM559" i="3"/>
  <c r="AO632" i="3" s="1"/>
  <c r="K29" i="4" s="1"/>
  <c r="AM558" i="3"/>
  <c r="AO631" i="3" s="1"/>
  <c r="AM557" i="3"/>
  <c r="AO630" i="3" s="1"/>
  <c r="I30" i="4" s="1"/>
  <c r="AM556" i="3"/>
  <c r="AA948" i="3" s="1"/>
  <c r="W554" i="3"/>
  <c r="W555" i="3" s="1"/>
  <c r="S37" i="4"/>
  <c r="S36" i="4"/>
  <c r="S35" i="4"/>
  <c r="S32" i="4"/>
  <c r="S31" i="4"/>
  <c r="S29" i="4"/>
  <c r="W875" i="3"/>
  <c r="W854" i="3"/>
  <c r="W853" i="3"/>
  <c r="W846" i="3"/>
  <c r="H664" i="3"/>
  <c r="G663" i="3"/>
  <c r="G662" i="3"/>
  <c r="G661" i="3"/>
  <c r="G660" i="3"/>
  <c r="G655" i="3"/>
  <c r="G647" i="3"/>
  <c r="G654" i="3"/>
  <c r="G653" i="3"/>
  <c r="G652" i="3"/>
  <c r="G646" i="3"/>
  <c r="G645" i="3"/>
  <c r="G644" i="3"/>
  <c r="C631" i="3"/>
  <c r="C630" i="3"/>
  <c r="C629" i="3"/>
  <c r="Z572" i="3"/>
  <c r="Z571" i="3"/>
  <c r="Z570" i="3"/>
  <c r="Z569" i="3"/>
  <c r="S33" i="4" l="1"/>
  <c r="AO629" i="3"/>
  <c r="AD200" i="20" s="1"/>
  <c r="AD199" i="20"/>
  <c r="AD201" i="20"/>
  <c r="J29" i="4"/>
  <c r="AA931" i="3"/>
  <c r="O75" i="7"/>
  <c r="O77" i="7" s="1"/>
  <c r="Q74" i="7"/>
  <c r="Q555" i="3"/>
  <c r="C555" i="3"/>
  <c r="AG443" i="3"/>
  <c r="AD67" i="15" a="1"/>
  <c r="AD67" i="15" s="1"/>
  <c r="Y67" i="15" a="1"/>
  <c r="Y67" i="15" s="1"/>
  <c r="Q75" i="7" l="1"/>
  <c r="S74" i="7"/>
  <c r="Q77" i="7"/>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S75" i="7" l="1"/>
  <c r="S77" i="7"/>
  <c r="U74" i="7"/>
  <c r="BR98" i="23"/>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U75" i="7" l="1"/>
  <c r="U77" i="7" s="1"/>
  <c r="W74" i="7"/>
  <c r="BE7" i="3"/>
  <c r="J28" i="23"/>
  <c r="J23" i="23"/>
  <c r="O105" i="23"/>
  <c r="AN29" i="23"/>
  <c r="J20" i="23"/>
  <c r="AB29" i="23"/>
  <c r="J21" i="23"/>
  <c r="AH29" i="23"/>
  <c r="J22" i="23"/>
  <c r="J19" i="23"/>
  <c r="P29" i="23"/>
  <c r="V29" i="23"/>
  <c r="J24" i="23"/>
  <c r="R93" i="23"/>
  <c r="R80" i="23"/>
  <c r="W75" i="7" l="1"/>
  <c r="W77" i="7" s="1"/>
  <c r="Y74" i="7"/>
  <c r="BE8" i="3"/>
  <c r="BE9" i="3" s="1"/>
  <c r="J29" i="23"/>
  <c r="AT24" i="23" s="1"/>
  <c r="BH247" i="3"/>
  <c r="T212" i="3"/>
  <c r="I14" i="21"/>
  <c r="G137" i="21"/>
  <c r="G86" i="21"/>
  <c r="B82" i="21"/>
  <c r="B67" i="21"/>
  <c r="B92" i="21"/>
  <c r="B58" i="21"/>
  <c r="B49" i="21"/>
  <c r="AA74" i="7" l="1"/>
  <c r="Y75" i="7"/>
  <c r="Y77" i="7" s="1"/>
  <c r="BA1042" i="3"/>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AA75" i="7" l="1"/>
  <c r="AA77" i="7" s="1"/>
  <c r="AC74" i="7"/>
  <c r="BE12" i="3"/>
  <c r="BE13" i="3" s="1"/>
  <c r="BE14" i="3" s="1"/>
  <c r="BE15" i="3" s="1"/>
  <c r="C39" i="21"/>
  <c r="G136" i="21"/>
  <c r="AO22" i="20"/>
  <c r="AO17" i="20"/>
  <c r="AO13" i="20"/>
  <c r="AO25" i="20"/>
  <c r="AY1023" i="3"/>
  <c r="AY1022" i="3"/>
  <c r="AY1021" i="3"/>
  <c r="AY1020" i="3"/>
  <c r="AY1019" i="3"/>
  <c r="AY1018" i="3"/>
  <c r="AY1017" i="3"/>
  <c r="AY1016" i="3"/>
  <c r="AY1015" i="3"/>
  <c r="AY1014" i="3"/>
  <c r="AY1013" i="3"/>
  <c r="AE74" i="7" l="1"/>
  <c r="AC75" i="7"/>
  <c r="AC77" i="7" s="1"/>
  <c r="AG444" i="3"/>
  <c r="AG441" i="3"/>
  <c r="AG74" i="7" l="1"/>
  <c r="AE75" i="7"/>
  <c r="AE77" i="7" s="1"/>
  <c r="BN150" i="3"/>
  <c r="AG75" i="7" l="1"/>
  <c r="AG77" i="7" s="1"/>
  <c r="C178" i="20"/>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8" i="13"/>
  <c r="E47"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B6" i="11"/>
  <c r="C6"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C77" i="4"/>
  <c r="B77" i="13" s="1"/>
  <c r="D11" i="4"/>
  <c r="D26" i="4"/>
  <c r="D42" i="4"/>
  <c r="D62" i="4"/>
  <c r="D77" i="4"/>
  <c r="S42" i="4"/>
  <c r="E42" i="13" s="1"/>
  <c r="S96" i="4"/>
  <c r="E96" i="13" s="1"/>
  <c r="F2" i="4"/>
  <c r="G2" i="4"/>
  <c r="H2" i="4"/>
  <c r="I2" i="4"/>
  <c r="J2" i="4"/>
  <c r="K2" i="4"/>
  <c r="L2" i="4"/>
  <c r="M2" i="4"/>
  <c r="N2" i="4"/>
  <c r="O2" i="4"/>
  <c r="P2" i="4"/>
  <c r="Q2" i="4"/>
  <c r="B5" i="4"/>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F11" i="4"/>
  <c r="F26" i="4"/>
  <c r="F38"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77" i="4" l="1"/>
  <c r="D104" i="11"/>
  <c r="AH730" i="3"/>
  <c r="E70" i="4"/>
  <c r="E37" i="4"/>
  <c r="R37" i="4" s="1"/>
  <c r="E35" i="4"/>
  <c r="R35" i="4" s="1"/>
  <c r="E33" i="4"/>
  <c r="R33" i="4" s="1"/>
  <c r="E32" i="4"/>
  <c r="R32" i="4" s="1"/>
  <c r="E31" i="4"/>
  <c r="R31" i="4" s="1"/>
  <c r="E29" i="4"/>
  <c r="R29" i="4" s="1"/>
  <c r="E5" i="4"/>
  <c r="R5" i="4" s="1"/>
  <c r="B26" i="4"/>
  <c r="E79" i="4"/>
  <c r="E62" i="4"/>
  <c r="E80" i="4"/>
  <c r="R80" i="4" s="1"/>
  <c r="D92" i="11"/>
  <c r="AH729" i="3"/>
  <c r="AH728" i="3"/>
  <c r="AH724" i="3"/>
  <c r="D94" i="11"/>
  <c r="D86" i="11"/>
  <c r="D32" i="11"/>
  <c r="AH723" i="3"/>
  <c r="AH722" i="3"/>
  <c r="D70" i="11"/>
  <c r="D93" i="11"/>
  <c r="D85" i="11"/>
  <c r="AH725" i="3"/>
  <c r="AH727" i="3"/>
  <c r="AH733" i="3"/>
  <c r="AH726" i="3"/>
  <c r="D25" i="11"/>
  <c r="AH734" i="3"/>
  <c r="AH732" i="3"/>
  <c r="AH731" i="3"/>
  <c r="C82" i="11"/>
  <c r="E42" i="4"/>
  <c r="H11" i="4"/>
  <c r="D34" i="11"/>
  <c r="D33" i="11"/>
  <c r="D88" i="11"/>
  <c r="D36" i="11"/>
  <c r="D91" i="11"/>
  <c r="D89" i="11"/>
  <c r="D90" i="11"/>
  <c r="D6" i="11"/>
  <c r="D54" i="11"/>
  <c r="D87" i="11"/>
  <c r="D96" i="11"/>
  <c r="D103" i="11"/>
  <c r="D101" i="11"/>
  <c r="D95" i="11"/>
  <c r="D75" i="11"/>
  <c r="D62" i="11"/>
  <c r="D58" i="11"/>
  <c r="L12" i="4"/>
  <c r="D38" i="11"/>
  <c r="B42" i="4"/>
  <c r="D51" i="11"/>
  <c r="D49" i="11"/>
  <c r="B78" i="11"/>
  <c r="D48" i="11"/>
  <c r="D20" i="11"/>
  <c r="D15" i="11"/>
  <c r="D8" i="11"/>
  <c r="D41" i="11"/>
  <c r="D12" i="13"/>
  <c r="D74" i="11"/>
  <c r="C12" i="13"/>
  <c r="D77" i="11"/>
  <c r="D73" i="11"/>
  <c r="D53" i="11"/>
  <c r="D21" i="11"/>
  <c r="D16" i="11"/>
  <c r="B12" i="11"/>
  <c r="D76" i="11"/>
  <c r="D66" i="11"/>
  <c r="D59" i="11"/>
  <c r="D42" i="11"/>
  <c r="D28" i="11"/>
  <c r="N63" i="4"/>
  <c r="N97" i="4" s="1"/>
  <c r="N105" i="4" s="1"/>
  <c r="C43" i="11"/>
  <c r="F12" i="4"/>
  <c r="D11" i="11"/>
  <c r="C63" i="11"/>
  <c r="F63" i="13"/>
  <c r="F97" i="13" s="1"/>
  <c r="F105" i="13" s="1"/>
  <c r="F107" i="13" s="1"/>
  <c r="D24" i="11"/>
  <c r="B71" i="11"/>
  <c r="O12" i="4"/>
  <c r="D10" i="11"/>
  <c r="B43" i="11"/>
  <c r="Q12" i="4"/>
  <c r="K12" i="4"/>
  <c r="D61" i="11"/>
  <c r="D57" i="11"/>
  <c r="J12" i="4"/>
  <c r="D30" i="11"/>
  <c r="D22" i="11"/>
  <c r="R77" i="4"/>
  <c r="D80"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J63" i="13"/>
  <c r="J97" i="13" s="1"/>
  <c r="J105" i="13" s="1"/>
  <c r="J107" i="13" s="1"/>
  <c r="D81" i="11"/>
  <c r="B77" i="4"/>
  <c r="C78" i="11"/>
  <c r="D60" i="11"/>
  <c r="M12" i="4"/>
  <c r="R26" i="4"/>
  <c r="R62" i="4"/>
  <c r="D63" i="13"/>
  <c r="D97" i="13" s="1"/>
  <c r="D105" i="13" s="1"/>
  <c r="D23" i="11"/>
  <c r="D19" i="11"/>
  <c r="G63" i="13"/>
  <c r="G97" i="13" s="1"/>
  <c r="G105" i="13" s="1"/>
  <c r="G107" i="13" s="1"/>
  <c r="M53" i="7"/>
  <c r="K58" i="7"/>
  <c r="N188" i="23"/>
  <c r="C27" i="11"/>
  <c r="AB48" i="15"/>
  <c r="B82" i="11"/>
  <c r="I58" i="7"/>
  <c r="B63" i="11"/>
  <c r="T63" i="4"/>
  <c r="K63" i="4"/>
  <c r="K97" i="4" s="1"/>
  <c r="K105" i="4" s="1"/>
  <c r="CI753" i="3"/>
  <c r="X1048" i="3" s="1"/>
  <c r="BG243" i="3"/>
  <c r="BO245" i="3" s="1"/>
  <c r="T267" i="3" s="1"/>
  <c r="AH721" i="3"/>
  <c r="J7" i="8"/>
  <c r="J40" i="8" s="1"/>
  <c r="Z809" i="3" s="1"/>
  <c r="S38" i="21"/>
  <c r="S37"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81" i="4" l="1"/>
  <c r="R79" i="4"/>
  <c r="R81" i="4" s="1"/>
  <c r="D82" i="11"/>
  <c r="AJ621" i="20"/>
  <c r="AK794" i="20" s="1"/>
  <c r="T819" i="20" s="1"/>
  <c r="AF819" i="20" s="1"/>
  <c r="BE82" i="3" s="1"/>
  <c r="G94" i="21"/>
  <c r="D43" i="11"/>
  <c r="R40" i="4"/>
  <c r="R42" i="4" s="1"/>
  <c r="R10" i="4"/>
  <c r="R11" i="4" s="1"/>
  <c r="E11" i="4"/>
  <c r="D71" i="11"/>
  <c r="D78" i="11"/>
  <c r="D12" i="11"/>
  <c r="D63" i="1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P35" i="21" s="1" a="1"/>
  <c r="P35" i="21" s="1"/>
  <c r="S3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P33" i="21" l="1" a="1"/>
  <c r="P33" i="21" s="1"/>
  <c r="S33" i="21" s="1"/>
  <c r="P36" i="21" a="1"/>
  <c r="P36" i="21" s="1"/>
  <c r="S36" i="21" s="1"/>
  <c r="P32" i="21" a="1"/>
  <c r="P32" i="21" s="1"/>
  <c r="S32" i="21" s="1"/>
  <c r="P34" i="21" a="1"/>
  <c r="P34" i="21" s="1"/>
  <c r="S34"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W58" i="7" l="1"/>
  <c r="Y53" i="7"/>
  <c r="T24" i="15"/>
  <c r="AP557" i="20"/>
  <c r="AP556" i="20" s="1"/>
  <c r="AP559" i="20" s="1"/>
  <c r="AF552" i="20" s="1"/>
  <c r="K11" i="7"/>
  <c r="K37" i="7" s="1"/>
  <c r="K45" i="7" s="1"/>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BE73" i="3" s="1"/>
  <c r="E103" i="20"/>
  <c r="E106" i="20" s="1"/>
  <c r="H3" i="21" l="1"/>
  <c r="Y64" i="15" l="1"/>
  <c r="Y68" i="15" s="1"/>
  <c r="Y69" i="15" s="1"/>
  <c r="D13" i="4" l="1"/>
  <c r="D6" i="4"/>
  <c r="C6" i="4"/>
  <c r="H6" i="4" s="1"/>
  <c r="C7" i="11" l="1"/>
  <c r="B6" i="4"/>
  <c r="E6" i="4" s="1"/>
  <c r="R6" i="4" s="1"/>
  <c r="B6" i="13"/>
  <c r="B7" i="11"/>
  <c r="C13" i="4"/>
  <c r="H13" i="4" s="1"/>
  <c r="D4" i="4" l="1"/>
  <c r="D8" i="4" s="1"/>
  <c r="C4" i="4"/>
  <c r="H4" i="4" s="1"/>
  <c r="H8" i="4" s="1"/>
  <c r="D7" i="11"/>
  <c r="B13" i="13"/>
  <c r="B14" i="11"/>
  <c r="C14" i="11"/>
  <c r="B13" i="4"/>
  <c r="E13" i="4" s="1"/>
  <c r="R13" i="4" s="1"/>
  <c r="D14" i="11" l="1"/>
  <c r="H30" i="4"/>
  <c r="H38" i="4" s="1"/>
  <c r="H63" i="4" s="1"/>
  <c r="H97" i="4" s="1"/>
  <c r="H105" i="4" s="1"/>
  <c r="H12" i="4"/>
  <c r="B4" i="13"/>
  <c r="B4" i="4"/>
  <c r="B5" i="11"/>
  <c r="B9" i="11" s="1"/>
  <c r="C5" i="11"/>
  <c r="C8" i="4"/>
  <c r="D12" i="4"/>
  <c r="BE23" i="3" l="1"/>
  <c r="E4" i="4"/>
  <c r="B8" i="13"/>
  <c r="B8" i="4"/>
  <c r="C12" i="4"/>
  <c r="B12" i="13" s="1"/>
  <c r="D5" i="11"/>
  <c r="C9" i="11"/>
  <c r="B13" i="11"/>
  <c r="R4" i="4" l="1"/>
  <c r="R8" i="4" s="1"/>
  <c r="R12" i="4" s="1"/>
  <c r="E8" i="4"/>
  <c r="E12" i="4" s="1"/>
  <c r="D9" i="11"/>
  <c r="C13" i="11"/>
  <c r="D13" i="11" s="1"/>
  <c r="N189" i="23"/>
  <c r="N195" i="23" s="1"/>
  <c r="B12" i="4"/>
  <c r="AM554" i="3" l="1"/>
  <c r="BE21" i="3" s="1"/>
  <c r="AM555" i="3"/>
  <c r="AM560" i="3"/>
  <c r="AM566" i="3" s="1"/>
  <c r="AO640" i="3"/>
  <c r="E108" i="4" s="1"/>
  <c r="AE699" i="3"/>
  <c r="AA919" i="3"/>
  <c r="AB50" i="15"/>
  <c r="BE62" i="3" s="1"/>
  <c r="E46" i="13"/>
  <c r="C45" i="4"/>
  <c r="D45" i="4"/>
  <c r="S45" i="4"/>
  <c r="S54" i="4" s="1"/>
  <c r="E54" i="13" s="1"/>
  <c r="C46" i="4"/>
  <c r="B47" i="11" s="1"/>
  <c r="D46" i="4"/>
  <c r="S46" i="4"/>
  <c r="C49" i="4"/>
  <c r="B49" i="13" s="1"/>
  <c r="S49" i="4"/>
  <c r="E49" i="13" s="1"/>
  <c r="C83" i="4"/>
  <c r="C96" i="4" s="1"/>
  <c r="D83" i="4"/>
  <c r="D96" i="4" s="1"/>
  <c r="C99" i="4"/>
  <c r="B99" i="13" s="1"/>
  <c r="D99" i="4"/>
  <c r="D104" i="4" s="1"/>
  <c r="I9" i="21"/>
  <c r="G143" i="21" s="1"/>
  <c r="G144" i="21"/>
  <c r="C54" i="4" l="1"/>
  <c r="AO641" i="3"/>
  <c r="B83" i="13"/>
  <c r="B49" i="4"/>
  <c r="E49" i="4" s="1"/>
  <c r="R49" i="4" s="1"/>
  <c r="B46" i="13"/>
  <c r="D54" i="4"/>
  <c r="B54" i="4" s="1"/>
  <c r="B96" i="4"/>
  <c r="B96" i="13"/>
  <c r="B54" i="13"/>
  <c r="E45" i="13"/>
  <c r="B100" i="11"/>
  <c r="B105" i="11" s="1"/>
  <c r="C84" i="11"/>
  <c r="B46" i="11"/>
  <c r="C100" i="11"/>
  <c r="B99" i="4"/>
  <c r="E99" i="4" s="1"/>
  <c r="C104" i="4"/>
  <c r="B83" i="4"/>
  <c r="E83" i="4" s="1"/>
  <c r="B46" i="4"/>
  <c r="E46" i="4" s="1"/>
  <c r="R46" i="4" s="1"/>
  <c r="B45" i="13"/>
  <c r="B84" i="11"/>
  <c r="B97" i="11" s="1"/>
  <c r="C50" i="11"/>
  <c r="B50" i="11"/>
  <c r="AA918" i="3"/>
  <c r="C46" i="11"/>
  <c r="S99" i="4"/>
  <c r="C47" i="11"/>
  <c r="D47" i="11" s="1"/>
  <c r="B45" i="4"/>
  <c r="E45" i="4" s="1"/>
  <c r="D50" i="11" l="1"/>
  <c r="B55" i="11"/>
  <c r="C97" i="11"/>
  <c r="D97" i="11" s="1"/>
  <c r="D84" i="11"/>
  <c r="R83" i="4"/>
  <c r="R96" i="4" s="1"/>
  <c r="E96" i="4"/>
  <c r="R45" i="4"/>
  <c r="R54" i="4" s="1"/>
  <c r="E54" i="4"/>
  <c r="B104" i="4"/>
  <c r="B104" i="13"/>
  <c r="S104" i="4"/>
  <c r="E99" i="13"/>
  <c r="R99" i="4"/>
  <c r="R104" i="4" s="1"/>
  <c r="E104" i="4"/>
  <c r="D46" i="11"/>
  <c r="C55" i="11"/>
  <c r="D55" i="11" s="1"/>
  <c r="C105" i="11"/>
  <c r="D105" i="11" s="1"/>
  <c r="D100" i="11"/>
  <c r="BA1058" i="3" l="1"/>
  <c r="E104" i="13"/>
  <c r="G105" i="4"/>
  <c r="G97" i="4"/>
  <c r="G63" i="4"/>
  <c r="G38" i="4"/>
  <c r="G30" i="4"/>
  <c r="G34" i="4"/>
  <c r="T29" i="15"/>
  <c r="T28" i="15"/>
  <c r="T26" i="15"/>
  <c r="D35" i="11"/>
  <c r="C35" i="11"/>
  <c r="N196" i="23"/>
  <c r="N185" i="23"/>
  <c r="N186" i="23"/>
  <c r="E105" i="4"/>
  <c r="E97" i="4"/>
  <c r="E63" i="4"/>
  <c r="E38" i="4"/>
  <c r="D106" i="11"/>
  <c r="C106" i="11"/>
  <c r="R34" i="4"/>
  <c r="E34" i="4"/>
  <c r="B34" i="4"/>
  <c r="D39" i="11"/>
  <c r="R105" i="4"/>
  <c r="R97" i="4"/>
  <c r="R63" i="4"/>
  <c r="R38" i="4"/>
  <c r="B30" i="4"/>
  <c r="E30" i="4"/>
  <c r="R30" i="4"/>
  <c r="B31" i="11"/>
  <c r="B39" i="11"/>
  <c r="B64" i="11"/>
  <c r="B98" i="11"/>
  <c r="B106" i="11"/>
  <c r="BE44" i="3"/>
  <c r="AC454" i="3"/>
  <c r="F457" i="3"/>
  <c r="E34" i="13"/>
  <c r="S34" i="4"/>
  <c r="P205" i="3"/>
  <c r="M27" i="3"/>
  <c r="BE20" i="3"/>
  <c r="E63" i="13"/>
  <c r="BE22" i="3"/>
  <c r="BE70" i="3"/>
  <c r="AF821" i="20"/>
  <c r="C98" i="11"/>
  <c r="D98" i="11"/>
  <c r="AC456" i="3"/>
  <c r="AD38" i="15"/>
  <c r="AD40" i="15"/>
  <c r="D31" i="11"/>
  <c r="P204" i="3"/>
  <c r="M26" i="3"/>
  <c r="BE19" i="3"/>
  <c r="AB79" i="15"/>
  <c r="AB266" i="20"/>
  <c r="AG268" i="20"/>
  <c r="AG270" i="20"/>
  <c r="AK273" i="20"/>
  <c r="T812" i="20"/>
  <c r="AF812" i="20"/>
  <c r="BE77" i="3"/>
  <c r="C31" i="11"/>
  <c r="C39" i="11"/>
  <c r="C64" i="11"/>
  <c r="D64" i="11"/>
  <c r="AB59" i="15"/>
  <c r="AB77" i="15"/>
  <c r="AB78" i="15"/>
  <c r="I10" i="21"/>
  <c r="I11" i="21"/>
  <c r="I18" i="21"/>
  <c r="H4" i="21"/>
  <c r="H5" i="21"/>
  <c r="BE83" i="3"/>
  <c r="E105" i="13"/>
  <c r="B34" i="13"/>
  <c r="B35" i="11"/>
  <c r="T11" i="15"/>
  <c r="T23" i="15"/>
  <c r="Y38" i="15"/>
  <c r="Y40" i="15"/>
  <c r="Y41" i="15"/>
  <c r="AB56" i="15"/>
  <c r="AB57" i="15"/>
  <c r="B38" i="13"/>
  <c r="AA1056" i="3"/>
  <c r="AA1057" i="3"/>
  <c r="G1058" i="3"/>
  <c r="B38" i="4"/>
  <c r="B63" i="4"/>
  <c r="B97" i="13"/>
  <c r="B97" i="4"/>
  <c r="AZ1052" i="3"/>
  <c r="AZ1045" i="3"/>
  <c r="AZ1049" i="3"/>
  <c r="AZ1051" i="3"/>
  <c r="BA1055" i="3"/>
  <c r="BA1059" i="3"/>
  <c r="B63" i="13"/>
  <c r="E97" i="13"/>
  <c r="E30" i="13"/>
  <c r="AC455" i="3"/>
  <c r="AG269" i="20"/>
  <c r="B105" i="13"/>
  <c r="BE101" i="3"/>
  <c r="B30" i="13"/>
  <c r="D34" i="4"/>
  <c r="D30" i="4"/>
  <c r="D38" i="4"/>
  <c r="D63" i="4"/>
  <c r="D97" i="4"/>
  <c r="D105" i="4"/>
  <c r="BE68" i="3"/>
  <c r="AB54" i="15"/>
  <c r="AB55" i="15"/>
  <c r="AF551" i="20"/>
  <c r="AF553" i="20"/>
  <c r="AK559" i="20"/>
  <c r="T818" i="20"/>
  <c r="AF818" i="20"/>
  <c r="BE81" i="3"/>
  <c r="E38" i="13"/>
  <c r="C38" i="4"/>
  <c r="C63" i="4"/>
  <c r="C97" i="4"/>
  <c r="C105" i="4"/>
  <c r="B105" i="4"/>
  <c r="AB47" i="15"/>
  <c r="AB49" i="15"/>
  <c r="AB81" i="15"/>
  <c r="J82" i="15"/>
  <c r="S105" i="4"/>
  <c r="S107" i="4"/>
  <c r="E107" i="13"/>
  <c r="Y11" i="15"/>
  <c r="Y23" i="15"/>
  <c r="Y26" i="15"/>
  <c r="Y28" i="15"/>
  <c r="C34" i="4"/>
  <c r="C30" i="4"/>
  <c r="S30" i="4"/>
  <c r="S38" i="4"/>
  <c r="S63" i="4"/>
  <c r="S97" i="4"/>
  <c r="AZ1046" i="3"/>
  <c r="BA10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EEF20C4-EF56-472F-BC04-C20E7A69A4FE}">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<sst xmlns="http://schemas.openxmlformats.org/spreadsheetml/2006/main" count="5005" uniqueCount="2764">
  <si>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</si>
  <si>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</si>
  <si>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</si>
  <si>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</si>
  <si>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</si>
  <si>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</si>
  <si>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</si>
  <si>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</si>
  <si>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</si>
  <si>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</si>
  <si>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</si>
  <si>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</si>
  <si>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</si>
  <si>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</si>
  <si>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</si>
  <si>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</si>
  <si>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</si>
  <si>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</si>
  <si>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</si>
  <si>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</si>
  <si>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</si>
  <si>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</si>
  <si>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</si>
  <si>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</si>
  <si>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</si>
  <si>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</si>
  <si>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</si>
  <si>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</si>
  <si>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</si>
  <si>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</si>
  <si>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</si>
  <si>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</si>
  <si>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</si>
  <si>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</si>
  <si>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</si>
  <si>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</si>
  <si>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</si>
  <si>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</si>
  <si>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</si>
  <si>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</si>
  <si>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</si>
  <si>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</si>
  <si>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</si>
  <si>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</si>
  <si>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</si>
  <si>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</si>
  <si>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</si>
  <si>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</si>
  <si>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</si>
  <si>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</si>
  <si>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</si>
  <si>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</si>
  <si>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</si>
  <si>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</si>
  <si>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</si>
  <si>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</si>
  <si>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</si>
  <si>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</si>
  <si>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</si>
  <si>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</si>
  <si>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</si>
  <si>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</si>
  <si>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</si>
  <si>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</si>
  <si>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</si>
  <si>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</si>
  <si>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</si>
  <si>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</si>
  <si>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</si>
  <si>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</si>
  <si>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</si>
  <si>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</si>
  <si>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</si>
  <si>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</si>
  <si>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</si>
  <si>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</si>
  <si>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</si>
  <si>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</si>
  <si>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</si>
  <si>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</si>
  <si>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</si>
  <si>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</si>
  <si>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</si>
  <si>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</si>
  <si>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</si>
  <si>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</si>
  <si>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</si>
  <si>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</si>
  <si>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</si>
  <si>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</si>
  <si>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</si>
  <si>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</si>
  <si>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</si>
  <si>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</si>
  <si>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</si>
  <si>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</si>
  <si>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</si>
  <si>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</si>
  <si>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</si>
  <si>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</si>
  <si>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</si>
  <si>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</si>
  <si>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</si>
  <si>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</si>
  <si>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</si>
  <si>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</si>
  <si>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</si>
  <si>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</si>
  <si>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</si>
  <si>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</si>
  <si>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</si>
  <si>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</si>
  <si>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</si>
  <si>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</si>
  <si>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</si>
  <si>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</si>
  <si>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</si>
  <si>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</si>
  <si>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</si>
  <si>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</si>
  <si>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</si>
  <si>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</si>
  <si>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</si>
  <si>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</si>
  <si>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</si>
  <si>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</si>
  <si>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</si>
  <si>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</si>
  <si>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</si>
  <si>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</si>
  <si>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</si>
  <si>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</si>
  <si>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</si>
  <si>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</si>
  <si>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</si>
  <si>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</si>
  <si>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</si>
  <si>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</si>
  <si>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</si>
  <si>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</si>
  <si>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</si>
  <si>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</si>
  <si>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</si>
  <si>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</si>
  <si>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</si>
  <si>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</si>
  <si>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</si>
  <si>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</si>
  <si>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</si>
  <si>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</si>
  <si>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</si>
  <si>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</si>
  <si>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</si>
  <si>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</si>
  <si>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</si>
  <si>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</si>
  <si>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</si>
  <si>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</si>
  <si>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</si>
  <si>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</si>
  <si>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</si>
  <si>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</si>
  <si>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</si>
  <si>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</si>
  <si>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</si>
  <si>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</si>
  <si>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</si>
  <si>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</si>
  <si>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</si>
  <si>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</si>
  <si>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</si>
  <si>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</si>
  <si>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</si>
  <si>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</si>
  <si>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</si>
  <si>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</si>
  <si>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</si>
  <si>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</si>
  <si>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</si>
  <si>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</si>
  <si>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</si>
  <si>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</si>
  <si>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</si>
  <si>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</si>
  <si>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</si>
  <si>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</si>
  <si>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</si>
  <si>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</si>
  <si>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</si>
  <si>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</si>
  <si>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</si>
  <si>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</si>
  <si>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</si>
  <si>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</si>
  <si>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</si>
  <si>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</si>
  <si>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</si>
  <si>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</si>
  <si>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</si>
  <si>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</si>
  <si>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</si>
  <si>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</si>
  <si>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</si>
  <si>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</si>
  <si>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</si>
  <si>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</si>
  <si>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</si>
  <si>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</si>
  <si>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</si>
  <si>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</si>
  <si>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</si>
  <si>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</si>
  <si>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</si>
  <si>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</si>
  <si>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</si>
  <si>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</si>
  <si>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</si>
  <si>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</si>
  <si>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</si>
  <si>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</si>
  <si>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</si>
  <si>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</si>
  <si>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</si>
  <si>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</si>
  <si>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</si>
  <si>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</si>
  <si>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</si>
  <si>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</si>
  <si>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</si>
  <si>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</si>
  <si>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</si>
  <si>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</si>
  <si>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</si>
  <si>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</si>
  <si>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</si>
  <si>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</si>
  <si>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</si>
  <si>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</si>
  <si>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</si>
  <si>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</si>
  <si>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</si>
  <si>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</si>
  <si>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</si>
  <si>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</si>
  <si>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</si>
  <si>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</si>
  <si>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</si>
  <si>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</si>
  <si>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</si>
  <si>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</si>
  <si>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</si>
  <si>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</si>
  <si>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</si>
  <si>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</si>
  <si>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</si>
  <si>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</si>
  <si>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</si>
  <si>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</si>
  <si>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</si>
  <si>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</si>
  <si>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</si>
  <si>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</si>
  <si>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</si>
  <si>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</si>
  <si>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</si>
  <si>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</si>
  <si>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</si>
  <si>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</si>
  <si>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</si>
  <si>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</si>
  <si>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</si>
  <si>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</si>
  <si>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</si>
  <si>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</si>
  <si>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</si>
  <si>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</si>
  <si>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</si>
  <si>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</si>
  <si>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</si>
  <si>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</si>
  <si>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</si>
  <si>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</si>
  <si>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</si>
  <si>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</si>
  <si>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</si>
  <si>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</si>
  <si>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</si>
  <si>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</si>
  <si>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</si>
  <si>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</si>
  <si>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</si>
  <si>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</si>
  <si>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</si>
  <si>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</si>
  <si>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</si>
  <si>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</si>
  <si>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</si>
  <si>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</si>
  <si>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</si>
  <si>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</si>
  <si>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</si>
  <si>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</si>
  <si>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</si>
  <si>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</si>
  <si>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</si>
  <si>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</si>
  <si>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</si>
  <si>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</si>
  <si>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</si>
  <si>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</si>
  <si>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</si>
  <si>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</si>
  <si>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</si>
  <si>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</si>
  <si>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</si>
  <si>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</si>
  <si>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</si>
  <si>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</si>
  <si>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</si>
  <si>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</si>
  <si>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</si>
  <si>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</si>
  <si>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</si>
  <si>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</si>
  <si>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</si>
  <si>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</si>
  <si>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</si>
  <si>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</si>
  <si>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</si>
  <si>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</si>
  <si>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</si>
  <si>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</si>
  <si>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</si>
  <si>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</si>
  <si>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</si>
  <si>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</si>
  <si>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</si>
  <si>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</si>
  <si>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</si>
  <si>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</si>
  <si>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</si>
  <si>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</si>
  <si>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</si>
  <si>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</si>
  <si>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</si>
  <si>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</si>
  <si>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</si>
  <si>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</si>
  <si>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</si>
  <si>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</si>
  <si>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</si>
  <si>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</si>
  <si>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</si>
  <si>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</si>
  <si>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</si>
  <si>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</si>
  <si>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</si>
  <si>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</si>
  <si>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</si>
  <si>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</si>
  <si>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</si>
  <si>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</si>
  <si>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</si>
  <si>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</si>
  <si>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</si>
  <si>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</si>
  <si>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</si>
  <si>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</si>
  <si>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</si>
  <si>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</si>
  <si>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</si>
  <si>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</si>
  <si>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</si>
  <si>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</si>
  <si>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</si>
  <si>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</si>
  <si>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</si>
  <si>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</si>
  <si>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</si>
  <si>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</si>
  <si>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</si>
  <si>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</si>
  <si>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</si>
  <si>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</si>
  <si>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</si>
  <si>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</si>
  <si>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</si>
  <si>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</si>
  <si>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</si>
  <si>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</si>
  <si>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</si>
  <si>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</si>
  <si>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</si>
  <si>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</si>
  <si>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</si>
  <si>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</si>
  <si>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</si>
  <si>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</si>
  <si>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</si>
  <si>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</si>
  <si>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</si>
  <si>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</si>
  <si>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</si>
  <si>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</si>
  <si>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</si>
  <si>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</si>
  <si>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</si>
  <si>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</si>
  <si>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</si>
  <si>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</si>
  <si>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</si>
  <si>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</si>
  <si>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</si>
  <si>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</si>
  <si>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</si>
  <si>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</si>
  <si>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</si>
  <si>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</si>
  <si>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</si>
  <si>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</si>
  <si>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</si>
  <si>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</si>
  <si>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</si>
  <si>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</si>
  <si>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</si>
  <si>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</si>
  <si>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</si>
  <si>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</si>
  <si>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</si>
  <si>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</si>
  <si>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</si>
  <si>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</si>
  <si>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</si>
  <si>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</si>
  <si>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</si>
  <si>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</si>
  <si>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</si>
  <si>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</si>
  <si>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</si>
  <si>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</si>
  <si>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</si>
  <si>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</si>
  <si>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</si>
  <si>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</si>
  <si>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</si>
  <si>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</si>
  <si>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</si>
  <si>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</si>
  <si>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</si>
  <si>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</si>
  <si>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</si>
  <si>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</si>
  <si>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</si>
  <si>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</si>
  <si>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</si>
  <si>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</si>
  <si>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</si>
  <si>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</si>
  <si>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</si>
  <si>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</si>
  <si>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</si>
  <si>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</si>
  <si>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</si>
  <si>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</si>
  <si>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</si>
  <si>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</si>
  <si>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</si>
  <si>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</si>
  <si>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</si>
  <si>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</si>
  <si>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</si>
  <si>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</si>
  <si>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</si>
  <si>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</si>
  <si>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</si>
  <si>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</si>
  <si>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</si>
  <si>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</si>
  <si>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</si>
  <si>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</si>
  <si>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</si>
  <si>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</si>
  <si>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</si>
  <si>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</si>
  <si>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</si>
  <si>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</si>
  <si>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</si>
  <si>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</si>
  <si>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</si>
  <si>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</si>
  <si>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</si>
  <si>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</si>
  <si>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</si>
  <si>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</si>
  <si>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</si>
  <si>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</si>
  <si>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</si>
  <si>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</si>
  <si>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</si>
  <si>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</si>
  <si>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</si>
  <si>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</si>
  <si>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</si>
  <si>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</si>
  <si>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</si>
  <si>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</si>
  <si>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</si>
  <si>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</si>
  <si>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</si>
  <si>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</si>
  <si>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</si>
  <si>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</si>
  <si>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</si>
  <si>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</si>
  <si>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</si>
  <si>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</si>
  <si>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</si>
  <si>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</si>
  <si>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</si>
  <si>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</si>
  <si>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</si>
  <si>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</si>
  <si>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</si>
  <si>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</si>
  <si>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</si>
  <si>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</si>
  <si>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</si>
  <si>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</si>
  <si>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</si>
  <si>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</si>
  <si>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</si>
  <si>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</si>
  <si>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</si>
  <si>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</si>
  <si>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</si>
  <si>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</si>
  <si>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</si>
  <si>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</si>
  <si>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</si>
  <si>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</si>
  <si>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</si>
  <si>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</si>
  <si>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</si>
  <si>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</si>
  <si>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</si>
  <si>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</si>
  <si>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</si>
  <si>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</si>
  <si>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</si>
  <si>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</si>
  <si>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</si>
  <si>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</si>
  <si>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</si>
  <si>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</si>
  <si>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</si>
  <si>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</si>
  <si>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</si>
  <si>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</si>
  <si>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</si>
  <si>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</si>
  <si>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</si>
  <si>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</si>
  <si>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</si>
  <si>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</si>
  <si>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</si>
  <si>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</si>
  <si>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</si>
  <si>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</si>
  <si>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</si>
  <si>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</si>
  <si>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</si>
  <si>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</si>
  <si>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</si>
  <si>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</si>
  <si>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</si>
  <si>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</si>
  <si>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</si>
  <si>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</si>
  <si>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</si>
  <si>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</si>
  <si>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</si>
  <si>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</si>
  <si>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</si>
  <si>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</si>
  <si>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</si>
  <si>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</si>
  <si>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</si>
  <si>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</si>
  <si>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</si>
  <si>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</si>
  <si>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</si>
  <si>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</si>
  <si>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</si>
  <si>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</si>
  <si>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</si>
  <si>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</si>
  <si>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</si>
  <si>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</si>
  <si>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</si>
  <si>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</si>
  <si>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</si>
  <si>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</si>
  <si>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</si>
  <si>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</si>
  <si>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</si>
  <si>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</si>
  <si>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</si>
  <si>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</si>
  <si>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</si>
  <si>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</si>
  <si>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</si>
  <si>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</si>
  <si>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</si>
  <si>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</si>
  <si>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</si>
  <si>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</si>
  <si>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</si>
  <si>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</si>
  <si>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</si>
  <si>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</si>
  <si>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</si>
  <si>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</si>
  <si>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</si>
  <si>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</si>
  <si>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</si>
  <si>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</si>
  <si>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</si>
  <si>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</si>
  <si>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</si>
  <si>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</si>
  <si>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</si>
  <si>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</si>
  <si>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</si>
  <si>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</si>
  <si>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</si>
  <si>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</si>
  <si>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</si>
  <si>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</si>
  <si>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</si>
  <si>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</si>
  <si>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</si>
  <si>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</si>
  <si>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</si>
  <si>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</si>
  <si>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</si>
  <si>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</si>
  <si>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</si>
  <si>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</si>
  <si>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</si>
  <si>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</si>
  <si>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</si>
  <si>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</si>
  <si>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</si>
  <si>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</si>
  <si>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</si>
  <si>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</si>
  <si>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</si>
  <si>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</si>
  <si>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</si>
  <si>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</si>
  <si>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</si>
  <si>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</si>
  <si>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</si>
  <si>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</si>
  <si>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</si>
  <si>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</si>
  <si>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</si>
  <si>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</si>
  <si>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</si>
  <si>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</si>
  <si>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</si>
  <si>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</si>
  <si>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</si>
  <si>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</si>
  <si>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</si>
  <si>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</si>
  <si>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</si>
  <si>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</si>
  <si>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</si>
  <si>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</si>
  <si>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</si>
  <si>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</si>
  <si>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</si>
  <si>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</si>
  <si>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</si>
  <si>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</si>
  <si>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</si>
  <si>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</si>
  <si>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</si>
  <si>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</si>
  <si>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</si>
  <si>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</si>
  <si>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</si>
  <si>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</si>
  <si>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</si>
  <si>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</si>
  <si>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</si>
  <si>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</si>
  <si>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</si>
  <si>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</si>
  <si>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</si>
  <si>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</si>
  <si>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</si>
  <si>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</si>
  <si>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</si>
  <si>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</si>
  <si>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</si>
  <si>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</si>
  <si>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</si>
  <si>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</si>
  <si>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</si>
  <si>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</si>
  <si>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</si>
  <si>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</si>
  <si>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</si>
  <si>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</si>
  <si>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</si>
  <si>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</si>
  <si>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</si>
  <si>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</si>
  <si>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</si>
  <si>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</si>
  <si>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</si>
  <si>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</si>
  <si>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</si>
  <si>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</si>
  <si>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</si>
  <si>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</si>
  <si>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</si>
  <si>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</si>
  <si>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</si>
  <si>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</si>
  <si>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</si>
  <si>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</si>
  <si>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</si>
  <si>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</si>
  <si>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</si>
  <si>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</si>
  <si>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</si>
  <si>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</si>
  <si>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</si>
  <si>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</si>
  <si>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</si>
  <si>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</si>
  <si>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</si>
  <si>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</si>
  <si>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</si>
  <si>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</si>
  <si>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</si>
  <si>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</si>
  <si>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</si>
  <si>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</si>
  <si>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</si>
  <si>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</si>
  <si>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</si>
  <si>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</si>
  <si>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</si>
  <si>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</si>
  <si>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</si>
  <si>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</si>
  <si>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</si>
  <si>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</si>
  <si>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</si>
  <si>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</si>
  <si>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</si>
  <si>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</si>
  <si>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</si>
  <si>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</si>
  <si>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</si>
  <si>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</si>
  <si>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</si>
  <si>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</si>
  <si>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</si>
  <si>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</si>
  <si>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</si>
  <si>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</si>
  <si>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</si>
  <si>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</si>
  <si>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</si>
  <si>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</si>
  <si>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</si>
  <si>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</si>
  <si>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</si>
  <si>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</si>
  <si>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</si>
  <si>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</si>
  <si>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</si>
  <si>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</si>
  <si>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</si>
  <si>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</si>
  <si>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</si>
  <si>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</si>
  <si>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</si>
  <si>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</si>
  <si>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</si>
  <si>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</si>
  <si>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</si>
  <si>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</si>
  <si>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</si>
  <si>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</si>
  <si>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</si>
  <si>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</si>
  <si>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</si>
  <si>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</si>
  <si>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</si>
  <si>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</si>
  <si>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</si>
  <si>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</si>
  <si>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</si>
  <si>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</si>
  <si>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</si>
  <si>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</si>
  <si>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</si>
  <si>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</si>
  <si>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</si>
  <si>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</si>
  <si>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</si>
  <si>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</si>
  <si>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</si>
  <si>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</si>
  <si>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</si>
  <si>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</si>
  <si>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</si>
  <si>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</si>
  <si>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</si>
  <si>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</si>
  <si>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</si>
  <si>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</si>
  <si>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</si>
  <si>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</si>
  <si>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</si>
  <si>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</si>
  <si>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</si>
  <si>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</si>
  <si>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</si>
  <si>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</si>
  <si>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</si>
  <si>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</si>
  <si>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</si>
  <si>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</si>
  <si>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</si>
  <si>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</si>
  <si>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</si>
  <si>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</si>
  <si>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</si>
  <si>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</si>
  <si>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</si>
  <si>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</si>
  <si>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</si>
  <si>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</si>
  <si>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</si>
  <si>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</si>
  <si>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</si>
  <si>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</si>
  <si>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</si>
  <si>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</si>
  <si>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</si>
  <si>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</si>
  <si>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</si>
  <si>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</si>
  <si>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</si>
  <si>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</si>
  <si>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</si>
  <si>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</si>
  <si>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</si>
  <si>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</si>
  <si>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</si>
  <si>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</si>
  <si>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</si>
  <si>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</si>
  <si>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</si>
  <si>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</si>
  <si>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</si>
  <si>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</si>
  <si>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</si>
  <si>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</si>
  <si>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</si>
  <si>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</si>
  <si>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</si>
  <si>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</si>
  <si>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</si>
  <si>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</si>
  <si>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</si>
  <si>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</si>
  <si>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</si>
  <si>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</si>
  <si>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</si>
  <si>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</si>
  <si>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</si>
  <si>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</si>
  <si>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</si>
  <si>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</si>
  <si>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</si>
  <si>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</si>
  <si>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</si>
  <si>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</si>
  <si>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</si>
  <si>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</si>
  <si>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</si>
  <si>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</si>
  <si>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</si>
  <si>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</si>
  <si>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</si>
  <si>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</si>
  <si>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</si>
  <si>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</si>
  <si>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</si>
  <si>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</si>
  <si>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</si>
  <si>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</si>
  <si>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</si>
  <si>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</si>
  <si>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</si>
  <si>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</si>
  <si>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</si>
  <si>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</si>
  <si>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</si>
  <si>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</si>
  <si>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</si>
  <si>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</si>
  <si>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</si>
  <si>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</si>
  <si>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</si>
  <si>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</si>
  <si>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</si>
  <si>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</si>
  <si>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</si>
  <si>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</si>
  <si>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</si>
  <si>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</si>
  <si>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</si>
  <si>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</si>
  <si>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</si>
  <si>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</si>
  <si>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</si>
  <si>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</si>
  <si>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</si>
  <si>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</si>
  <si>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</si>
  <si>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</si>
  <si>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</si>
  <si>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</si>
  <si>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</si>
  <si>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</si>
  <si>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</si>
  <si>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</si>
  <si>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</si>
  <si>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</si>
  <si>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</si>
  <si>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</si>
  <si>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</si>
  <si>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</si>
  <si>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</si>
  <si>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</si>
  <si>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</si>
  <si>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</si>
  <si>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</si>
  <si>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</si>
  <si>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</si>
  <si>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</si>
  <si>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</si>
  <si>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</si>
  <si>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</si>
  <si>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</si>
  <si>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</si>
  <si>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</si>
  <si>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</si>
  <si>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</si>
  <si>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</si>
  <si>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</si>
  <si>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</si>
  <si>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</si>
  <si>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</si>
  <si>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</si>
  <si>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</si>
  <si>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</si>
  <si>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</si>
  <si>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</si>
  <si>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</si>
  <si>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</si>
  <si>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</si>
  <si>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</si>
  <si>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</si>
  <si>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</si>
  <si>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</si>
  <si>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</si>
  <si>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</si>
  <si>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</si>
  <si>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</si>
  <si>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</si>
  <si>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</si>
  <si>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</si>
  <si>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</si>
  <si>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</si>
  <si>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</si>
  <si>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</si>
  <si>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</si>
  <si>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</si>
  <si>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</si>
  <si>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</si>
  <si>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</si>
  <si>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</si>
  <si>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</si>
  <si>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</si>
  <si>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</si>
  <si>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</si>
  <si>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</si>
  <si>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</si>
  <si>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</si>
  <si>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</si>
  <si>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</si>
  <si>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</si>
  <si>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</si>
  <si>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</si>
  <si>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</si>
  <si>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</si>
  <si>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</si>
  <si>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</si>
  <si>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</si>
  <si>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</si>
  <si>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</si>
  <si>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</si>
  <si>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</si>
  <si>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</si>
  <si>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</si>
  <si>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</si>
  <si>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</si>
  <si>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</si>
  <si>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</si>
  <si>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</si>
  <si>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</si>
  <si>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</si>
  <si>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</si>
  <si>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</si>
  <si>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</si>
  <si>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</si>
  <si>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</si>
  <si>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</si>
  <si>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</si>
  <si>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</si>
  <si>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</si>
  <si>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</si>
  <si>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</si>
  <si>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</si>
  <si>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</si>
  <si>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</si>
  <si>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</si>
  <si>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</si>
  <si>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</si>
  <si>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</si>
  <si>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</si>
  <si>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</si>
  <si>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</si>
  <si>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</si>
  <si>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</si>
  <si>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</si>
  <si>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</si>
  <si>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</si>
  <si>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</si>
  <si>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</si>
  <si>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</si>
  <si>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</si>
  <si>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</si>
  <si>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</si>
  <si>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</si>
  <si>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</si>
  <si>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</si>
  <si>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</si>
  <si>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</si>
  <si>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</si>
  <si>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</si>
  <si>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</si>
  <si>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</si>
  <si>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</si>
  <si>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</si>
  <si>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</si>
  <si>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</si>
  <si>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</si>
  <si>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</si>
  <si>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</si>
  <si>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</si>
  <si>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</si>
  <si>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</si>
  <si>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</si>
  <si>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</si>
  <si>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</si>
  <si>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</si>
  <si>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</si>
  <si>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</si>
  <si>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</si>
  <si>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</si>
  <si>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</si>
  <si>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</si>
  <si>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</si>
  <si>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</si>
  <si>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</si>
  <si>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</si>
  <si>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</si>
  <si>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</si>
  <si>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</si>
  <si>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</si>
  <si>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</si>
  <si>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</si>
  <si>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</si>
  <si>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</si>
  <si>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</si>
  <si>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</si>
  <si>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</si>
  <si>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</si>
  <si>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</si>
  <si>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</si>
  <si>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</si>
  <si>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</si>
  <si>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</si>
  <si>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</si>
  <si>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</si>
  <si>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</si>
  <si>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</si>
  <si>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</si>
  <si>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</si>
  <si>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</si>
  <si>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</si>
  <si>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</si>
  <si>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</si>
  <si>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</si>
  <si>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</si>
  <si>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</si>
  <si>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</si>
  <si>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</si>
  <si>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</si>
  <si>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</si>
  <si>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</si>
  <si>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</si>
  <si>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</si>
  <si>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</si>
  <si>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</si>
  <si>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</si>
  <si>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</si>
  <si>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</si>
  <si>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</si>
  <si>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</si>
  <si>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</si>
  <si>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</si>
  <si>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</si>
  <si>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</si>
  <si>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</si>
  <si>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</si>
  <si>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</si>
  <si>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</si>
  <si>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</si>
  <si>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</si>
  <si>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</si>
  <si>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</si>
  <si>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</si>
  <si>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</si>
  <si>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</si>
  <si>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</si>
  <si>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</si>
  <si>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</si>
  <si>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</si>
  <si>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</si>
  <si>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</si>
  <si>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</si>
  <si>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</si>
  <si>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</si>
  <si>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</si>
  <si>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</si>
  <si>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</si>
  <si>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</si>
  <si>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</si>
  <si>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</si>
  <si>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</si>
  <si>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</si>
  <si>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</si>
  <si>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</si>
  <si>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</si>
  <si>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</si>
  <si>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</si>
  <si>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</si>
  <si>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</si>
  <si>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</si>
  <si>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</si>
  <si>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</si>
  <si>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</si>
  <si>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</si>
  <si>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</si>
  <si>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</si>
  <si>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</si>
  <si>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</si>
  <si>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</si>
  <si>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</si>
  <si>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</si>
  <si>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</si>
  <si>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</si>
  <si>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</si>
  <si>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</si>
  <si>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</si>
  <si>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</si>
  <si>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</si>
  <si>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</si>
  <si>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</si>
  <si>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</si>
  <si>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</si>
  <si>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</si>
  <si>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</si>
  <si>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</si>
  <si>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</si>
  <si>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</si>
  <si>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</si>
  <si>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</si>
  <si>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</si>
  <si>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</si>
  <si>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</si>
  <si>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</si>
  <si>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</si>
  <si>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</si>
  <si>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</si>
  <si>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</si>
  <si>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</si>
  <si>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</si>
  <si>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</si>
  <si>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</si>
  <si>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</si>
  <si>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</si>
  <si>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</si>
  <si>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</si>
  <si>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</si>
  <si>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</si>
  <si>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</si>
  <si>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</si>
  <si>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</si>
  <si>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</si>
  <si>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</si>
  <si>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</si>
  <si>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</si>
  <si>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</si>
  <si>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</si>
  <si>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</si>
  <si>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</si>
  <si>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</si>
  <si>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</si>
  <si>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</si>
  <si>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</si>
  <si>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</si>
  <si>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</si>
  <si>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</si>
  <si>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</si>
  <si>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</si>
  <si>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</si>
  <si>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</si>
  <si>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</si>
  <si>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</si>
  <si>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</si>
  <si>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</si>
  <si>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</si>
  <si>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</si>
  <si>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</si>
  <si>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</si>
  <si>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</si>
  <si>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</si>
  <si>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</si>
  <si>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</si>
  <si>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</si>
  <si>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</si>
  <si>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</si>
  <si>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</si>
  <si>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</si>
  <si>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</si>
  <si>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</si>
  <si>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</si>
  <si>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</si>
  <si>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</si>
  <si>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</si>
  <si>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</si>
  <si>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</si>
  <si>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</si>
  <si>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</si>
  <si>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</si>
  <si>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</si>
  <si>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</si>
  <si>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</si>
  <si>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</si>
  <si>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</si>
  <si>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</si>
  <si>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</si>
  <si>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</si>
  <si>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</si>
  <si>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</si>
  <si>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</si>
  <si>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</si>
  <si>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</si>
  <si>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</si>
  <si>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</si>
  <si>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</si>
  <si>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</si>
  <si>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</si>
  <si>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</si>
  <si>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</si>
  <si>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</si>
  <si>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</si>
  <si>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</si>
  <si>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</si>
  <si>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</si>
  <si>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</si>
  <si>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</si>
  <si>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</si>
  <si>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</si>
  <si>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</si>
  <si>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</si>
  <si>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</si>
  <si>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</si>
  <si>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</si>
  <si>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</si>
  <si>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</si>
  <si>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</si>
  <si>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</si>
  <si>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</si>
  <si>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</si>
  <si>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</si>
  <si>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</si>
  <si>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</si>
  <si>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</si>
  <si>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</si>
  <si>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</si>
  <si>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</si>
  <si>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</si>
  <si>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</si>
  <si>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</si>
  <si>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</si>
  <si>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</si>
  <si>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</si>
  <si>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</si>
  <si>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</si>
  <si>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</si>
  <si>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</si>
  <si>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</si>
  <si>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</si>
  <si>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</si>
  <si>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</si>
  <si>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</si>
  <si>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</si>
  <si>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</si>
  <si>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</si>
  <si>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</si>
  <si>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</si>
  <si>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</si>
  <si>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</si>
  <si>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</si>
  <si>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</si>
  <si>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</si>
  <si>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</si>
  <si>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</si>
  <si>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</si>
  <si>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</si>
  <si>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</si>
  <si>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</si>
  <si>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</si>
  <si>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</si>
  <si>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</si>
  <si>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</si>
  <si>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</si>
  <si>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</si>
  <si>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</si>
  <si>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</si>
  <si>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</si>
  <si>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</si>
  <si>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</si>
  <si>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</si>
  <si>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</si>
  <si>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</si>
  <si>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</si>
  <si>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</si>
  <si>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</si>
  <si>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</si>
  <si>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</si>
  <si>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</si>
  <si>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</si>
  <si>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</si>
  <si>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</si>
  <si>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</si>
  <si>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</si>
  <si>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</si>
  <si>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</si>
  <si>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</si>
  <si>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</si>
  <si>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</si>
  <si>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</si>
  <si>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</si>
  <si>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</si>
  <si>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</si>
  <si>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</si>
  <si>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</si>
  <si>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</si>
  <si>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</si>
  <si>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</si>
  <si>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</si>
  <si>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</si>
  <si>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</si>
  <si>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</si>
  <si>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</si>
  <si>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</si>
  <si>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</si>
  <si>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</si>
  <si>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</si>
  <si>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</si>
  <si>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</si>
  <si>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</si>
  <si>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</si>
  <si>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</si>
  <si>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</si>
  <si>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</si>
  <si>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</si>
  <si>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</si>
  <si>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</si>
  <si>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</si>
  <si>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</si>
  <si>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</si>
  <si>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</si>
  <si>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</si>
  <si>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</si>
  <si>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</si>
  <si>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</si>
  <si>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</si>
  <si>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</si>
  <si>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</si>
  <si>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</si>
  <si>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</si>
  <si>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</si>
  <si>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</si>
  <si>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</si>
  <si>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</si>
  <si>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</si>
  <si>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</si>
  <si>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</si>
  <si>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</si>
  <si>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</si>
  <si>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</si>
  <si>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</si>
  <si>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</si>
  <si>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</si>
  <si>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</si>
  <si>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</si>
  <si>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</si>
  <si>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</si>
  <si>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</si>
  <si>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</si>
  <si>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</si>
  <si>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</si>
  <si>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</si>
  <si>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</si>
  <si>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</si>
  <si>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</si>
  <si>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</si>
  <si>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</si>
  <si>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</si>
  <si>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</si>
  <si>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</si>
  <si>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</si>
  <si>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</si>
  <si>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</si>
  <si>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</si>
  <si>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</si>
  <si>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</si>
  <si>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</si>
  <si>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</si>
  <si>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</si>
  <si>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</si>
  <si>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</si>
  <si>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</si>
  <si>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</si>
  <si>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</si>
  <si>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</si>
  <si>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</si>
  <si>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</si>
  <si>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</si>
  <si>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</si>
  <si>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</si>
  <si>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</si>
  <si>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</si>
  <si>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</si>
  <si>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</si>
  <si>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</si>
  <si>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</si>
  <si>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</si>
  <si>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</si>
  <si>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</si>
  <si>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</si>
  <si>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</si>
  <si>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</si>
  <si>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</si>
  <si>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</si>
  <si>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</si>
  <si>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</si>
  <si>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</si>
  <si>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</si>
  <si>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</si>
  <si>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</si>
  <si>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</si>
  <si>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</si>
  <si>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</si>
  <si>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</si>
  <si>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</si>
  <si>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</si>
  <si>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</si>
  <si>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</si>
  <si>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</si>
  <si>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</si>
  <si>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</si>
  <si>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</si>
  <si>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</si>
  <si>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</si>
  <si>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</si>
  <si>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</si>
  <si>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</si>
  <si>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</si>
  <si>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</si>
  <si>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</si>
  <si>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</si>
  <si>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</si>
  <si>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</si>
  <si>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</si>
  <si>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</si>
  <si>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</si>
  <si>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</si>
  <si>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</si>
  <si>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</si>
  <si>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</si>
  <si>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</si>
  <si>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</si>
  <si>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</si>
  <si>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</si>
  <si>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</si>
  <si>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</si>
  <si>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</si>
  <si>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</si>
  <si>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</si>
  <si>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</si>
  <si>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</si>
  <si>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</si>
  <si>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</si>
  <si>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</si>
  <si>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</si>
  <si>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</si>
  <si>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</si>
  <si>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</si>
  <si>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</si>
  <si>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</si>
  <si>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</si>
  <si>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</si>
  <si>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</si>
  <si>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</si>
  <si>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</si>
  <si>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</si>
  <si>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</si>
  <si>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</si>
  <si>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</si>
  <si>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</si>
  <si>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</si>
  <si>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</si>
  <si>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</si>
  <si>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</si>
  <si>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</si>
  <si>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</si>
  <si>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</si>
  <si>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</si>
  <si>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</si>
  <si>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</si>
  <si>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</si>
  <si>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</si>
  <si>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</si>
  <si>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</si>
  <si>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</si>
  <si>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</si>
  <si>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</si>
  <si>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</si>
  <si>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</si>
  <si>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</si>
  <si>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</si>
  <si>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</si>
  <si>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</si>
  <si>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</si>
  <si>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</si>
  <si>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</si>
  <si>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</si>
  <si>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</si>
  <si>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</si>
  <si>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</si>
  <si>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</si>
  <si>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</si>
  <si>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</si>
  <si>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</si>
  <si>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</si>
  <si>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</si>
  <si>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</si>
  <si>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</si>
  <si>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</si>
  <si>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</si>
  <si>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</si>
  <si>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</si>
  <si>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</si>
  <si>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</si>
  <si>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</si>
  <si>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</si>
  <si>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</si>
  <si>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</si>
  <si>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</si>
  <si>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</si>
  <si>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</si>
  <si>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</si>
  <si>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</si>
  <si>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</si>
  <si>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</si>
  <si>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</si>
  <si>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</si>
  <si>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</si>
  <si>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</si>
  <si>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</si>
  <si>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</si>
  <si>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</si>
  <si>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</si>
  <si>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</si>
  <si>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</si>
  <si>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</si>
  <si>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</si>
  <si>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</si>
  <si>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</si>
  <si>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</si>
  <si>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</si>
  <si>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</si>
  <si>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</si>
  <si>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</si>
  <si>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</si>
  <si>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</si>
  <si>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</si>
  <si>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</si>
  <si>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</si>
  <si>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</si>
  <si>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</si>
  <si>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</si>
  <si>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</si>
  <si>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</si>
  <si>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</si>
  <si>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</si>
  <si>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</si>
  <si>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</si>
  <si>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</si>
  <si>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</si>
  <si>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</si>
  <si>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</si>
  <si>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</si>
  <si>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</si>
  <si>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</si>
  <si>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</si>
  <si>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</si>
  <si>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</si>
  <si>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</si>
  <si>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</si>
  <si>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</si>
  <si>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</si>
  <si>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</si>
  <si>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</si>
  <si>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</si>
  <si>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</si>
  <si>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</si>
  <si>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</si>
  <si>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</si>
  <si>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</si>
  <si>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</si>
  <si>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</si>
  <si>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</si>
  <si>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</si>
  <si>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</si>
  <si>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</si>
  <si>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</si>
  <si>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</si>
  <si>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</si>
  <si>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</si>
  <si>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</si>
  <si>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</si>
  <si>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</si>
  <si>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</si>
  <si>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</si>
  <si>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</si>
  <si>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</si>
  <si>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</si>
  <si>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</si>
  <si>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</si>
  <si>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</si>
  <si>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</si>
  <si>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</si>
  <si>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</si>
  <si>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</si>
  <si>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</si>
  <si>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</si>
  <si>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</si>
  <si>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</si>
  <si>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</si>
  <si>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</si>
  <si>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</si>
  <si>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</si>
  <si>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</si>
  <si>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</si>
  <si>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</si>
  <si>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</si>
  <si>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</si>
  <si>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</si>
  <si>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</si>
  <si>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</si>
  <si>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</si>
  <si>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</si>
  <si>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</si>
  <si>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</si>
  <si>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</si>
  <si>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</si>
  <si>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</si>
  <si>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</si>
  <si>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</si>
  <si>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</si>
  <si>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</si>
  <si>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</si>
  <si>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</si>
  <si>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</si>
  <si>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</si>
  <si>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</si>
  <si>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</si>
  <si>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</si>
  <si>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</si>
  <si>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</si>
  <si>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</si>
  <si>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</si>
  <si>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</si>
  <si>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</si>
  <si>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</si>
  <si>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</si>
  <si>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</si>
  <si>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</si>
  <si>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</si>
  <si>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</si>
  <si>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</si>
  <si>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</si>
  <si>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</si>
  <si>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</si>
  <si>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</si>
  <si>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</si>
  <si>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</si>
  <si>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</si>
  <si>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</si>
  <si>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</si>
  <si>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</si>
  <si>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</si>
  <si>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</si>
  <si>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</si>
  <si>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</si>
  <si>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</si>
  <si>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</si>
  <si>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</si>
  <si>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</si>
  <si>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</si>
  <si>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</si>
  <si>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</si>
  <si>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</si>
  <si>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</si>
  <si>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</si>
  <si>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</si>
  <si>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</si>
  <si>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</si>
  <si>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</si>
  <si>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</si>
  <si>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</si>
  <si>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</si>
  <si>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</si>
  <si>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</si>
  <si>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</si>
  <si>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</si>
  <si>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</si>
  <si>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</si>
  <si>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</si>
  <si>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</si>
  <si>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</si>
  <si>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</si>
  <si>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</si>
  <si>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</si>
  <si>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</si>
  <si>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</si>
  <si>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</si>
  <si>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</si>
  <si>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</si>
  <si>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</si>
  <si>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</si>
  <si>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</si>
  <si>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</si>
  <si>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</si>
  <si>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</si>
  <si>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</si>
  <si>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</si>
  <si>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</si>
  <si>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</si>
  <si>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</si>
  <si>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</si>
  <si>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</si>
  <si>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</si>
  <si>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</si>
  <si>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</si>
  <si>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</si>
  <si>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</si>
  <si>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</si>
  <si>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</si>
  <si>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</si>
  <si>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</si>
  <si>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</si>
  <si>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</si>
  <si>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</si>
  <si>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</si>
  <si>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</si>
  <si>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</si>
  <si>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</si>
  <si>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</si>
  <si>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</si>
  <si>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</si>
  <si>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</si>
  <si>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</si>
  <si>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</si>
  <si>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</si>
  <si>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</si>
  <si>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</si>
  <si>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</si>
  <si>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</si>
  <si>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</si>
  <si>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</si>
  <si>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</si>
  <si>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</si>
  <si>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</si>
  <si>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</si>
  <si>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</si>
  <si>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</si>
  <si>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</si>
  <si>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</si>
  <si>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</si>
  <si>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</si>
  <si>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</si>
  <si>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</si>
  <si>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</si>
  <si>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</si>
  <si>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</si>
  <si>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</si>
  <si>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</si>
  <si>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</si>
  <si>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</si>
  <si>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</si>
  <si>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</si>
  <si>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</si>
  <si>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</si>
  <si>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</si>
  <si>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</si>
  <si>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</si>
  <si>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</si>
  <si>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</si>
  <si>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</si>
  <si>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</si>
  <si>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</si>
  <si>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</si>
  <si>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</si>
  <si>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</si>
  <si>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</si>
  <si>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</si>
  <si>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</si>
  <si>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</si>
  <si>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</si>
  <si>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</si>
  <si>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</si>
  <si>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</si>
  <si>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</si>
  <si>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</si>
  <si>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</si>
  <si>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</si>
  <si>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</si>
  <si>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</si>
  <si>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</si>
  <si>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</si>
  <si>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</si>
  <si>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</si>
  <si>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</si>
  <si>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</si>
  <si>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</si>
  <si>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</si>
  <si>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</si>
  <si>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</si>
  <si>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</si>
  <si>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</si>
  <si>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</si>
  <si>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</si>
  <si>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</si>
  <si>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</si>
  <si>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</si>
  <si>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</si>
  <si>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</si>
  <si>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</si>
  <si>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</si>
  <si>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</si>
  <si>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</si>
  <si>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</si>
  <si>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</si>
  <si>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</si>
  <si>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</si>
  <si>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</si>
  <si>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</si>
  <si>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</si>
  <si>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</si>
  <si>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</si>
  <si>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</si>
  <si>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</si>
  <si>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</si>
  <si>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</si>
  <si>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</si>
  <si>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</si>
  <si>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</si>
  <si>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</si>
  <si>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</si>
  <si>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</si>
  <si>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</si>
  <si>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</si>
  <si>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</si>
  <si>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</si>
  <si>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</si>
  <si>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</si>
  <si>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</si>
  <si>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</si>
  <si>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</si>
  <si>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</si>
  <si>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</si>
  <si>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</si>
  <si>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</si>
  <si>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</si>
  <si>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</si>
  <si>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</si>
  <si>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</si>
  <si>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</si>
  <si>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</si>
  <si>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</si>
  <si>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</si>
  <si>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</si>
  <si>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</si>
  <si>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</si>
  <si>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</si>
  <si>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</si>
  <si>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</si>
  <si>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</si>
  <si>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</si>
  <si>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</si>
  <si>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</si>
  <si>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</si>
  <si>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</si>
  <si>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</si>
  <si>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</si>
  <si>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</si>
  <si>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</si>
  <si>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</si>
  <si>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</si>
  <si>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</si>
  <si>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</si>
  <si>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</si>
  <si>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</si>
  <si>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</si>
  <si>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</si>
  <si>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</si>
  <si>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</si>
  <si>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</si>
  <si>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</si>
  <si>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</si>
  <si>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</si>
  <si>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</si>
  <si>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</si>
  <si>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</si>
  <si>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</si>
  <si>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</si>
  <si>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</si>
  <si>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</si>
  <si>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</si>
  <si>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</si>
  <si>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</si>
  <si>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</si>
  <si>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</si>
  <si>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</si>
  <si>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</si>
  <si>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</si>
  <si>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</si>
  <si>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</si>
  <si>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</si>
  <si>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</si>
  <si>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</si>
  <si>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</si>
  <si>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</si>
  <si>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</si>
  <si>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</si>
  <si>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</si>
  <si>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</si>
  <si>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</si>
  <si>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</si>
  <si>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</si>
  <si>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</si>
  <si>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</si>
  <si>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</si>
  <si>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</si>
  <si>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</si>
  <si>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</si>
  <si>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</si>
  <si>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</si>
  <si>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</si>
  <si>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</si>
  <si>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</si>
  <si>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</si>
  <si>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</si>
  <si>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</si>
  <si>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</si>
  <si>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</si>
  <si>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</si>
  <si>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</si>
  <si>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</si>
  <si>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</si>
  <si>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</si>
  <si>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</si>
  <si>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</si>
  <si>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</si>
  <si>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</si>
  <si>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</si>
  <si>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</si>
  <si>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</si>
  <si>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</si>
  <si>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</si>
  <si>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</si>
  <si>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</si>
  <si>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</si>
  <si>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</si>
  <si>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</si>
  <si>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</si>
  <si>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</si>
  <si>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</si>
  <si>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</si>
  <si>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</si>
  <si>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</si>
  <si>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</si>
  <si>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</si>
  <si>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</si>
  <si>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</si>
  <si>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</si>
  <si>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</si>
  <si>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</si>
  <si>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</si>
  <si>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</si>
  <si>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</si>
  <si>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</si>
  <si>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</si>
  <si>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</si>
  <si>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</si>
  <si>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</si>
  <si>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</si>
  <si>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</si>
  <si>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</si>
  <si>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</si>
  <si>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</si>
  <si>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</si>
  <si>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</si>
  <si>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</si>
  <si>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</si>
  <si>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</si>
  <si>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</si>
  <si>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</si>
  <si>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</si>
  <si>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</si>
  <si>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</si>
  <si>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</si>
  <si>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</si>
  <si>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</si>
  <si>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</si>
  <si>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</si>
  <si>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</si>
  <si>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</si>
  <si>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</si>
  <si>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</si>
  <si>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</si>
  <si>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</si>
  <si>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</si>
  <si>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</si>
  <si>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</si>
  <si>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</si>
  <si>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</si>
  <si>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</si>
  <si>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</si>
  <si>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</si>
  <si>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</si>
  <si>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</si>
  <si>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</si>
  <si>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</si>
  <si>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</si>
  <si>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</si>
  <si>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</si>
  <si>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</si>
  <si>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</si>
  <si>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</si>
  <si>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</si>
  <si>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</si>
  <si>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</si>
  <si>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</si>
  <si>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</si>
  <si>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</si>
  <si>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</si>
  <si>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</si>
  <si>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</si>
  <si>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</si>
  <si>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</si>
  <si>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</si>
  <si>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</si>
  <si>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</si>
  <si>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</si>
  <si>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</si>
  <si>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</si>
  <si>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</si>
  <si>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</si>
  <si>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</si>
  <si>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</si>
  <si>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</si>
  <si>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</si>
  <si>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</si>
  <si>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</si>
  <si>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</si>
  <si>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</si>
  <si>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</si>
  <si>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</si>
  <si>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</si>
  <si>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</si>
  <si>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</si>
  <si>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</si>
  <si>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</si>
  <si>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</si>
  <si>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</si>
  <si>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</si>
  <si>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</si>
  <si>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</si>
  <si>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</si>
  <si>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</si>
  <si>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</si>
  <si>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</si>
  <si>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</si>
  <si>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</si>
  <si>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</si>
  <si>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</si>
  <si>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</si>
  <si>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</si>
  <si>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</si>
  <si>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</si>
  <si>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</si>
  <si>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</si>
  <si>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</si>
  <si>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</si>
  <si>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</si>
  <si>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</si>
  <si>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</si>
  <si>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</si>
  <si>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</si>
  <si>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</si>
  <si>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</si>
  <si>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</si>
  <si>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</si>
  <si>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</si>
  <si>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</si>
  <si>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</si>
  <si>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</si>
  <si>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</si>
  <si>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</si>
  <si>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</si>
  <si>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</si>
  <si>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</si>
  <si>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</si>
  <si>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</si>
  <si>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</si>
  <si>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</si>
  <si>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</si>
  <si>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</si>
  <si>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</si>
  <si>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</si>
  <si>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</si>
  <si>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</si>
  <si>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</si>
  <si>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</si>
  <si>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</si>
  <si>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</si>
  <si>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</si>
  <si>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</si>
  <si>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</si>
  <si>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</si>
  <si>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</si>
  <si>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</si>
  <si>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</si>
  <si>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</si>
  <si>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</si>
  <si>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</si>
  <si>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</si>
  <si>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</si>
  <si>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</si>
  <si>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</si>
  <si>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</si>
  <si>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</si>
  <si>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</si>
  <si>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</si>
  <si>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</si>
  <si>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</si>
  <si>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</si>
  <si>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</si>
  <si>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</si>
  <si>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</si>
  <si>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</si>
  <si>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</si>
  <si>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</si>
  <si>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</si>
  <si>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</si>
  <si>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</si>
  <si>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</si>
  <si>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</si>
  <si>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</si>
  <si>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</si>
  <si>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</si>
  <si>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</si>
  <si>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</si>
  <si>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</si>
  <si>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</si>
  <si>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</si>
  <si>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</si>
  <si>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</si>
  <si>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</si>
  <si>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</si>
  <si>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</si>
  <si>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</si>
  <si>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</si>
  <si>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</si>
  <si>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</si>
  <si>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</si>
  <si>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</si>
  <si>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</si>
  <si>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</si>
  <si>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</si>
  <si>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</si>
  <si>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</si>
  <si>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</si>
  <si>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</si>
  <si>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</si>
  <si>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</si>
  <si>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</si>
  <si>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</si>
  <si>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</si>
  <si>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</si>
  <si>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</si>
  <si>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</si>
  <si>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</si>
  <si>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</si>
  <si>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</si>
  <si>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</si>
  <si>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</si>
  <si>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</si>
  <si>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</si>
  <si>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</si>
  <si>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</si>
  <si>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</si>
  <si>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</si>
  <si>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</si>
  <si>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</si>
  <si>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</si>
  <si>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</si>
  <si>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</si>
  <si>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</si>
  <si>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</si>
  <si>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</si>
  <si>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</si>
  <si>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</si>
  <si>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</si>
  <si>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</si>
  <si>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</si>
  <si>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</si>
  <si>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</si>
  <si>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</si>
  <si>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</si>
  <si>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</si>
  <si>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</si>
  <si>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</si>
  <si>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</si>
  <si>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</si>
  <si>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</si>
  <si>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</si>
  <si>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</si>
  <si>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</si>
  <si>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</si>
  <si>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</si>
  <si>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</si>
  <si>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</si>
  <si>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</si>
  <si>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</si>
  <si>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</si>
  <si>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</si>
  <si>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</si>
  <si>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</si>
  <si>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</si>
  <si>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</si>
  <si>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</si>
  <si>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</si>
  <si>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</si>
  <si>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</si>
  <si>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</si>
  <si>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</si>
  <si>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</si>
  <si>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</si>
  <si>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</si>
  <si>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</si>
  <si>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</si>
  <si>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</si>
  <si>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</si>
  <si>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</si>
  <si>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</si>
  <si>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</si>
  <si>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</si>
  <si>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</si>
  <si>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</si>
  <si>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</si>
  <si>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</si>
  <si>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</si>
  <si>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</si>
  <si>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</si>
  <si>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</si>
  <si>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</si>
  <si>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</si>
  <si>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</si>
  <si>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</si>
  <si>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</si>
  <si>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</si>
  <si>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</si>
  <si>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</si>
  <si>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</si>
  <si>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</si>
  <si>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</si>
  <si>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</si>
  <si>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</si>
  <si>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</si>
  <si>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</si>
  <si>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</si>
  <si>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</si>
  <si>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</si>
  <si>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</si>
  <si>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</si>
  <si>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</si>
  <si>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</si>
  <si>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</si>
  <si>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</si>
  <si>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</si>
  <si>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</si>
  <si>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</si>
  <si>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</si>
  <si>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</si>
  <si>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</si>
  <si>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</si>
  <si>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</si>
  <si>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</si>
  <si>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</si>
  <si>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</si>
  <si>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</si>
  <si>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</si>
  <si>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</si>
  <si>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</si>
  <si>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</si>
  <si>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</si>
  <si>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</si>
  <si>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</si>
  <si>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</si>
  <si>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</si>
  <si>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</si>
  <si>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</si>
  <si>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</si>
  <si>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</si>
  <si>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</si>
  <si>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</si>
  <si>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</si>
  <si>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</si>
  <si>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</si>
  <si>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</si>
  <si>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</si>
  <si>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</si>
  <si>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</si>
  <si>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</si>
  <si>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</si>
  <si>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</si>
  <si>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</si>
  <si>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</si>
  <si>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</si>
  <si>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</si>
  <si>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</si>
  <si>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</si>
  <si>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</si>
  <si>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</si>
  <si>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</si>
  <si>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</si>
  <si>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</si>
  <si>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</si>
  <si>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</si>
  <si>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</si>
  <si>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</si>
  <si>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</si>
  <si>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</si>
  <si>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</si>
  <si>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</si>
  <si>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</si>
  <si>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</si>
  <si>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</si>
  <si>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</si>
  <si>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</si>
  <si>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</si>
  <si>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</si>
  <si>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</si>
  <si>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</si>
  <si>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</si>
  <si>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</si>
  <si>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</si>
  <si>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</si>
  <si>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</si>
  <si>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</si>
  <si>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</si>
  <si>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</si>
  <si>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</si>
  <si>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</si>
  <si>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</si>
  <si>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</si>
  <si>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</si>
  <si>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</si>
  <si>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</si>
  <si>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</si>
  <si>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</si>
  <si>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</si>
  <si>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</si>
  <si>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</si>
  <si>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</si>
  <si>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</si>
  <si>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</si>
  <si>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</si>
  <si>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</si>
  <si>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</si>
  <si>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</si>
  <si>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</si>
  <si>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</si>
  <si>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</si>
  <si>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</si>
  <si>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</si>
  <si>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</si>
  <si>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</si>
  <si>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</si>
  <si>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</si>
  <si>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</si>
  <si>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</si>
  <si>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</si>
  <si>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</si>
  <si>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</si>
  <si>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</si>
  <si>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</si>
  <si>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</si>
  <si>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</si>
  <si>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</si>
  <si>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</si>
  <si>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</si>
  <si>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</si>
  <si>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</si>
  <si>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</si>
  <si>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</si>
  <si>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</si>
  <si>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</si>
  <si>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</si>
  <si>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</si>
  <si>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</si>
  <si>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</si>
  <si>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</si>
  <si>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</si>
  <si>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</si>
  <si>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</si>
  <si>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</si>
  <si>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</si>
  <si>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</si>
  <si>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</si>
  <si>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</si>
  <si>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</si>
  <si>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</si>
  <si>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</si>
  <si>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</si>
  <si>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</si>
  <si>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</si>
  <si>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</si>
  <si>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</si>
  <si>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</si>
  <si>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</si>
  <si>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</si>
  <si>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</si>
  <si>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</si>
  <si>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</si>
  <si>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</si>
  <si>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</si>
  <si>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</si>
  <si>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</si>
  <si>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</si>
  <si>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</si>
  <si>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</si>
  <si>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</si>
  <si>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</si>
  <si>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</si>
  <si>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</si>
  <si>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</si>
  <si>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</si>
  <si>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</si>
  <si>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</si>
  <si>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</si>
  <si>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</si>
  <si>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</si>
  <si>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</si>
  <si>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</si>
  <si>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</si>
  <si>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</si>
  <si>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</si>
  <si>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</si>
  <si>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</si>
  <si>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</si>
  <si>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</si>
  <si>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</si>
  <si>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</si>
  <si>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</si>
  <si>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</si>
  <si>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</si>
  <si>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</si>
  <si>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</si>
  <si>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</si>
  <si>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</si>
  <si>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</si>
  <si>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</si>
  <si>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</si>
  <si>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</si>
  <si>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</si>
  <si>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</si>
  <si>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</si>
  <si>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</si>
  <si>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</si>
  <si>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</si>
  <si>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</si>
  <si>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</si>
  <si>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</si>
  <si>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</si>
  <si>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</si>
  <si>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</si>
  <si>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</si>
  <si>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</si>
  <si>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</si>
  <si>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</si>
  <si>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</si>
  <si>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</si>
  <si>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</si>
  <si>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</si>
  <si>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</si>
  <si>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</si>
  <si>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</si>
  <si>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</si>
  <si>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</si>
  <si>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</si>
  <si>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</si>
  <si>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</si>
  <si>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</si>
  <si>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</si>
  <si>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</si>
  <si>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</si>
  <si>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</si>
  <si>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</si>
  <si>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</si>
  <si>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</si>
  <si>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</si>
  <si>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</si>
  <si>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</si>
  <si>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</si>
  <si>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</si>
  <si>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</si>
  <si>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</si>
  <si>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</si>
  <si>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</si>
  <si>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</si>
  <si>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</si>
  <si>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</si>
  <si>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</si>
  <si>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</si>
  <si>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</si>
  <si>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</si>
  <si>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</si>
  <si>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</si>
  <si>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</si>
  <si>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</si>
  <si>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</si>
  <si>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</si>
  <si>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</si>
  <si>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</si>
  <si>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</si>
  <si>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</si>
  <si>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</si>
  <si>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</si>
  <si>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</si>
  <si>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</si>
  <si>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</si>
  <si>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</si>
  <si>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</si>
  <si>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</si>
  <si>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</si>
  <si>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</si>
  <si>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</si>
  <si>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</si>
  <si>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</si>
  <si>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Resources for Community Development</t>
  </si>
  <si>
    <t xml:space="preserve">3900 Thornton </t>
  </si>
  <si>
    <t>City of Fremont</t>
  </si>
  <si>
    <t>Karena Shackelford</t>
  </si>
  <si>
    <t>3300 Capitol Avenue, Building A</t>
  </si>
  <si>
    <t>Fremont</t>
  </si>
  <si>
    <t>(510) 284-4000</t>
  </si>
  <si>
    <t>kshackelford@fremont.gov</t>
  </si>
  <si>
    <t>3900 Thornton Avenue</t>
  </si>
  <si>
    <t>501-1426-035; 501-1426-036 &amp; 501-1426-037</t>
  </si>
  <si>
    <t xml:space="preserve">2220 Oxford Street </t>
  </si>
  <si>
    <t xml:space="preserve">Berkeley </t>
  </si>
  <si>
    <t>CA</t>
  </si>
  <si>
    <t>Jake Rosen</t>
  </si>
  <si>
    <t>(510) 841 - 4410</t>
  </si>
  <si>
    <t>jrosen@rcdhousing.org</t>
  </si>
  <si>
    <t>RCD GP II LLC</t>
  </si>
  <si>
    <t>2220 Oxford Street</t>
  </si>
  <si>
    <t>Managing GP</t>
  </si>
  <si>
    <t>Berkeley</t>
  </si>
  <si>
    <t>Senior Project Manager</t>
  </si>
  <si>
    <t xml:space="preserve">Resources for Community Development </t>
  </si>
  <si>
    <t>Berkeley, CA 94704</t>
  </si>
  <si>
    <t>David Baker Architects</t>
  </si>
  <si>
    <t>461 Second Street, #127</t>
  </si>
  <si>
    <t>San Francisco, CA 94107</t>
  </si>
  <si>
    <t xml:space="preserve">Orrin Goldsby </t>
  </si>
  <si>
    <t>Gubb &amp; Barshay</t>
  </si>
  <si>
    <t>235 Montgomery Street, Suite 1110</t>
  </si>
  <si>
    <t>San Francisco, CA 94104</t>
  </si>
  <si>
    <t>Nicole Kline</t>
  </si>
  <si>
    <t>James E. Roberts-Obayashi Corp.</t>
  </si>
  <si>
    <t xml:space="preserve">20 Oak Ct. </t>
  </si>
  <si>
    <t>Danville, CA 94526</t>
  </si>
  <si>
    <t>Scott Smith</t>
  </si>
  <si>
    <t>(510) 841-4410</t>
  </si>
  <si>
    <t>orringoldsby@dbarchitect.com</t>
  </si>
  <si>
    <t>nkline@gubbandbarshay.com</t>
  </si>
  <si>
    <t>(415) 781-6600</t>
  </si>
  <si>
    <t>Lindquist van Husen &amp; Joyce LLP</t>
  </si>
  <si>
    <t>301 Howard Street</t>
  </si>
  <si>
    <t>San Francisco, CA 94105</t>
  </si>
  <si>
    <t>Cathy Hwang</t>
  </si>
  <si>
    <t>(415) 905-5436</t>
  </si>
  <si>
    <t>chwang@lvhj.com</t>
  </si>
  <si>
    <t>Community Economics, Inc.</t>
  </si>
  <si>
    <t>538 9th Street, Suite 200</t>
  </si>
  <si>
    <t>Oakland, CA 94607</t>
  </si>
  <si>
    <t>Elissa Dennis</t>
  </si>
  <si>
    <t>(510) 832-8300</t>
  </si>
  <si>
    <t>elissa@communityeconomics.org</t>
  </si>
  <si>
    <t>Raney Planning &amp; Management</t>
  </si>
  <si>
    <t>1501 Sports Drive, Suite A</t>
  </si>
  <si>
    <t>Sacramento, CA 95834</t>
  </si>
  <si>
    <t>Stefanie Williams</t>
  </si>
  <si>
    <t>(916) 372-6100</t>
  </si>
  <si>
    <t>swilliams@laurinassociates.com</t>
  </si>
  <si>
    <t>Valbridge Property Advisors</t>
  </si>
  <si>
    <t>3160 Crow Canyon Place, Suite 245</t>
  </si>
  <si>
    <t>San Ramon, CA 94583</t>
  </si>
  <si>
    <t>Guido Villanueva</t>
  </si>
  <si>
    <t>(925) 327-1660</t>
  </si>
  <si>
    <t>gvillanueva@valbridge.com</t>
  </si>
  <si>
    <t>The John Stewart Company</t>
  </si>
  <si>
    <t>1388 Sutter Street, 11th Floor</t>
  </si>
  <si>
    <t>San Francisco, CA 94109</t>
  </si>
  <si>
    <t>Uella Laughlin</t>
  </si>
  <si>
    <t>(415) 345-4440</t>
  </si>
  <si>
    <t>ulaughlin@jsco.net</t>
  </si>
  <si>
    <t>California Municipal Finance Authority</t>
  </si>
  <si>
    <t>2111 Palomar Airport Rd., Suite 320</t>
  </si>
  <si>
    <t>Carlsbad, CA 92011</t>
  </si>
  <si>
    <t>Anthony Stubbs</t>
  </si>
  <si>
    <t>(760) 930-1333</t>
  </si>
  <si>
    <t>(760) 683-3390</t>
  </si>
  <si>
    <t>Thornton Villa LLC</t>
  </si>
  <si>
    <t>Chunbo Zhang</t>
  </si>
  <si>
    <t>Manager</t>
  </si>
  <si>
    <t>1551 McCarthy Blvd., #211, Milpitas, CA 95035</t>
  </si>
  <si>
    <t>650-866-1000</t>
  </si>
  <si>
    <t>Inner City Infill Site</t>
  </si>
  <si>
    <t>City of Fremont General Plan Mixed Use</t>
  </si>
  <si>
    <t xml:space="preserve">Town Center Pedestrian - TOD Overlay </t>
  </si>
  <si>
    <t>Town Center Pedestrian - TOD Overlay, no maximum</t>
  </si>
  <si>
    <t>65 feet</t>
  </si>
  <si>
    <t>No requirement per SB 35</t>
  </si>
  <si>
    <t>Parcel Merger</t>
  </si>
  <si>
    <t>HCD AHSC Loan and Grant</t>
  </si>
  <si>
    <t>City of Fremont Loan</t>
  </si>
  <si>
    <t>DTSC Equitable Community Revitilization Grant</t>
  </si>
  <si>
    <t>Chase Bank</t>
  </si>
  <si>
    <t>Variable</t>
  </si>
  <si>
    <t>Fixed</t>
  </si>
  <si>
    <t>Sponsor loan HCD AHSC HRI grant</t>
  </si>
  <si>
    <t>Sponsor loan DTSC grant</t>
  </si>
  <si>
    <t>GP equity</t>
  </si>
  <si>
    <t>LP equity available for construction</t>
  </si>
  <si>
    <t>560 Mission Street, 4th Floor</t>
  </si>
  <si>
    <t>James Vossoughi</t>
  </si>
  <si>
    <t>(415) 315-6708</t>
  </si>
  <si>
    <t>tax-exempt construction loan</t>
  </si>
  <si>
    <t>SOFR</t>
  </si>
  <si>
    <t>taxable construction loan</t>
  </si>
  <si>
    <t>39550 Liberty St.</t>
  </si>
  <si>
    <t>Lucia Hughes</t>
  </si>
  <si>
    <t xml:space="preserve">(510) 494-4506
 | </t>
  </si>
  <si>
    <t>Residual receipts loan</t>
  </si>
  <si>
    <t>2020 W. El Camino Avenue, Suite 670</t>
  </si>
  <si>
    <t>Jennifer Seeger</t>
  </si>
  <si>
    <t>(916) 263-2771</t>
  </si>
  <si>
    <t xml:space="preserve">Sponsor loan of grant funds </t>
  </si>
  <si>
    <t>5796 Corporate Avenue</t>
  </si>
  <si>
    <t>Cypress</t>
  </si>
  <si>
    <t>Rana Georges</t>
  </si>
  <si>
    <t>Daniel Sawislak</t>
  </si>
  <si>
    <t>equity</t>
  </si>
  <si>
    <t>(714) 484-5450</t>
  </si>
  <si>
    <t>Sponsor loan of grant funds</t>
  </si>
  <si>
    <t>TBD Investor</t>
  </si>
  <si>
    <t>Chase</t>
  </si>
  <si>
    <t>HCD - AHSC loan</t>
  </si>
  <si>
    <t>Deferred developer fee</t>
  </si>
  <si>
    <t>ta- exempt perm loan</t>
  </si>
  <si>
    <t>Residual receipts with .42% hard pmt</t>
  </si>
  <si>
    <t>Residual receipts</t>
  </si>
  <si>
    <t>deferred developer fee</t>
  </si>
  <si>
    <t>California Energy Commission</t>
  </si>
  <si>
    <t>Office Expenses/Admin Expenses/Travel</t>
  </si>
  <si>
    <t>Payroll Taxes/Benefits/Workers Comp</t>
  </si>
  <si>
    <t>Fire Protection</t>
  </si>
  <si>
    <t>Janitorial Supplies and Furniture/Appliances</t>
  </si>
  <si>
    <t>Misc. Licenses and Fees</t>
  </si>
  <si>
    <t>Payroll Processing Fee</t>
  </si>
  <si>
    <t>Bond Issuer Fee:</t>
  </si>
  <si>
    <t>DTSC ECRG (Sponsor Loan)</t>
  </si>
  <si>
    <t>California Department of Housing and Community Development</t>
  </si>
  <si>
    <t>PV System</t>
  </si>
  <si>
    <t>Predevelopment Loan Costs</t>
  </si>
  <si>
    <t>Owner Legal</t>
  </si>
  <si>
    <t>Prevailing Wage Monitoring</t>
  </si>
  <si>
    <t>Security during Construction</t>
  </si>
  <si>
    <t>California Department of Housing and Community Development AHSC Loan</t>
  </si>
  <si>
    <t>40%/60%</t>
  </si>
  <si>
    <t>COMMERCIAL CASH FLOW</t>
  </si>
  <si>
    <t>Commercial income</t>
  </si>
  <si>
    <t>vacancy</t>
  </si>
  <si>
    <t>Commercial expenses</t>
  </si>
  <si>
    <t xml:space="preserve">cash flow </t>
  </si>
  <si>
    <t>DTSC</t>
  </si>
  <si>
    <t>HCD AHSC Loan and HRI</t>
  </si>
  <si>
    <t>Provided</t>
  </si>
  <si>
    <t>Not Applicable</t>
  </si>
  <si>
    <t>Security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</si>
</sst>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3" fontId="117" fillId="55" borderId="0" xfId="0" applyNumberFormat="1" applyFont="1" applyFill="1"/>
    <xf numFmtId="186" fontId="16"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166" fontId="16" fillId="5" borderId="4" xfId="0" applyNumberFormat="1" applyFont="1" applyFill="1" applyBorder="1" applyAlignment="1" applyProtection="1">
      <alignment horizontal="lef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 fontId="25" fillId="5" borderId="6" xfId="0" applyNumberFormat="1" applyFont="1" applyFill="1" applyBorder="1" applyAlignment="1" applyProtection="1">
      <alignment horizontal="right"/>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Thornton\Thornton%20CDLAC%20R1%202025%201-14-25.xls" TargetMode="External"/><Relationship Id="rId1" Type="http://schemas.openxmlformats.org/officeDocument/2006/relationships/externalLinkPath" Target="file:///C:\Users\Elissa\Box\Elissa%20Dennis\RCD%20-%20Thornton\Thornton%20CDLAC%20R1%202025%201-14-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dev fee calc"/>
    </sheetNames>
    <sheetDataSet>
      <sheetData sheetId="0">
        <row r="7">
          <cell r="D7">
            <v>4103000</v>
          </cell>
        </row>
        <row r="8">
          <cell r="D8">
            <v>17276908</v>
          </cell>
        </row>
        <row r="10">
          <cell r="D10">
            <v>31288198</v>
          </cell>
        </row>
        <row r="11">
          <cell r="D11">
            <v>3711802</v>
          </cell>
        </row>
        <row r="14">
          <cell r="D14">
            <v>450000</v>
          </cell>
        </row>
        <row r="15">
          <cell r="E15">
            <v>1300000</v>
          </cell>
        </row>
        <row r="17">
          <cell r="D17">
            <v>100</v>
          </cell>
        </row>
        <row r="18">
          <cell r="D18">
            <v>42480826.366760254</v>
          </cell>
        </row>
        <row r="22">
          <cell r="C22">
            <v>52605800.814821787</v>
          </cell>
          <cell r="D22">
            <v>7.0000000000000007E-2</v>
          </cell>
        </row>
        <row r="23">
          <cell r="C23">
            <v>18684476.291045479</v>
          </cell>
        </row>
        <row r="25">
          <cell r="J25">
            <v>0.54500000000000004</v>
          </cell>
        </row>
        <row r="29">
          <cell r="E29">
            <v>6510198.4160084529</v>
          </cell>
          <cell r="F29">
            <v>89801.583991547493</v>
          </cell>
        </row>
        <row r="30">
          <cell r="E30">
            <v>40146.223565385459</v>
          </cell>
          <cell r="F30">
            <v>553.77643461454284</v>
          </cell>
        </row>
        <row r="33">
          <cell r="E33">
            <v>37176.192136506448</v>
          </cell>
          <cell r="F33">
            <v>512.80786349355049</v>
          </cell>
        </row>
        <row r="34">
          <cell r="E34">
            <v>962578.20991702192</v>
          </cell>
          <cell r="F34">
            <v>13277.790082978116</v>
          </cell>
        </row>
        <row r="44">
          <cell r="AG44">
            <v>131410.43159999998</v>
          </cell>
        </row>
        <row r="45">
          <cell r="E45">
            <v>566399.09891712817</v>
          </cell>
          <cell r="F45">
            <v>7812.9010828718883</v>
          </cell>
          <cell r="AG45">
            <v>317709.06526782247</v>
          </cell>
        </row>
        <row r="46">
          <cell r="E46">
            <v>53739873.946136586</v>
          </cell>
          <cell r="F46">
            <v>741287.05386341235</v>
          </cell>
        </row>
        <row r="47">
          <cell r="E47">
            <v>2475259.3084434634</v>
          </cell>
          <cell r="F47">
            <v>34143.691556536549</v>
          </cell>
        </row>
        <row r="48">
          <cell r="E48">
            <v>1208466.4313022622</v>
          </cell>
          <cell r="F48">
            <v>16669.568697737654</v>
          </cell>
        </row>
        <row r="49">
          <cell r="E49">
            <v>2378932.045335324</v>
          </cell>
          <cell r="F49">
            <v>32814.954664676166</v>
          </cell>
        </row>
        <row r="50">
          <cell r="E50">
            <v>497142.42449519091</v>
          </cell>
          <cell r="F50">
            <v>6857.5755048090805</v>
          </cell>
          <cell r="AE50">
            <v>6.7000000000000004E-2</v>
          </cell>
        </row>
        <row r="51">
          <cell r="E51">
            <v>1936632.1241328078</v>
          </cell>
          <cell r="F51">
            <v>26713.875867192241</v>
          </cell>
        </row>
        <row r="54">
          <cell r="E54">
            <v>2528115.2148255561</v>
          </cell>
          <cell r="F54">
            <v>34872.785174443685</v>
          </cell>
        </row>
        <row r="57">
          <cell r="E57">
            <v>790476.18282134144</v>
          </cell>
          <cell r="F57">
            <v>10903.817178658534</v>
          </cell>
        </row>
        <row r="59">
          <cell r="E59">
            <v>6238274.8576833317</v>
          </cell>
          <cell r="F59">
            <v>86050.674310796821</v>
          </cell>
          <cell r="G59">
            <v>3366863.4175975216</v>
          </cell>
        </row>
        <row r="60">
          <cell r="E60">
            <v>193943.9681605066</v>
          </cell>
          <cell r="G60">
            <v>10022.944090982253</v>
          </cell>
        </row>
        <row r="61">
          <cell r="E61">
            <v>147959.054909283</v>
          </cell>
          <cell r="F61">
            <v>2040.9450907169883</v>
          </cell>
        </row>
        <row r="62">
          <cell r="E62">
            <v>576721.78621001181</v>
          </cell>
          <cell r="F62">
            <v>7955.2920839926701</v>
          </cell>
          <cell r="G62">
            <v>30215.869679276711</v>
          </cell>
        </row>
        <row r="63">
          <cell r="E63">
            <v>366499.51097879099</v>
          </cell>
          <cell r="F63">
            <v>5055.489021209004</v>
          </cell>
        </row>
        <row r="64">
          <cell r="E64">
            <v>1396585.5192887224</v>
          </cell>
          <cell r="F64">
            <v>19264.480711277654</v>
          </cell>
        </row>
        <row r="65">
          <cell r="E65">
            <v>99329.84552909866</v>
          </cell>
          <cell r="F65">
            <v>1370.1544709013381</v>
          </cell>
          <cell r="G65">
            <v>99329.84552909866</v>
          </cell>
        </row>
        <row r="68">
          <cell r="E68">
            <v>41030</v>
          </cell>
        </row>
        <row r="70">
          <cell r="E70">
            <v>25000</v>
          </cell>
        </row>
        <row r="71">
          <cell r="E71">
            <v>10000</v>
          </cell>
        </row>
        <row r="75">
          <cell r="E75">
            <v>118367.2439274264</v>
          </cell>
          <cell r="F75">
            <v>1632.7560725735907</v>
          </cell>
          <cell r="G75">
            <v>6201.5503875968989</v>
          </cell>
        </row>
        <row r="77">
          <cell r="E77">
            <v>73979.527454641502</v>
          </cell>
          <cell r="F77">
            <v>1020.4725453584941</v>
          </cell>
          <cell r="G77">
            <v>73979.527454641502</v>
          </cell>
        </row>
        <row r="80">
          <cell r="E80">
            <v>498764.62421695562</v>
          </cell>
        </row>
        <row r="81">
          <cell r="E81">
            <v>200000</v>
          </cell>
        </row>
        <row r="84">
          <cell r="E84">
            <v>4468.3634582603472</v>
          </cell>
          <cell r="F84">
            <v>61.636541739653048</v>
          </cell>
        </row>
        <row r="85">
          <cell r="E85">
            <v>3825917.0153207867</v>
          </cell>
          <cell r="F85">
            <v>52774.644679212834</v>
          </cell>
        </row>
        <row r="87">
          <cell r="E87">
            <v>134608.71342375959</v>
          </cell>
          <cell r="F87">
            <v>1856.7906708946916</v>
          </cell>
        </row>
        <row r="88">
          <cell r="E88">
            <v>54251.653466737102</v>
          </cell>
          <cell r="F88">
            <v>748.34653326289572</v>
          </cell>
        </row>
        <row r="89">
          <cell r="E89">
            <v>740937.51845031476</v>
          </cell>
          <cell r="F89">
            <v>10220.481549685277</v>
          </cell>
        </row>
        <row r="90">
          <cell r="E90">
            <v>147564.49742952493</v>
          </cell>
          <cell r="F90">
            <v>2035.5025704750765</v>
          </cell>
        </row>
        <row r="91">
          <cell r="E91">
            <v>4516457.0558617599</v>
          </cell>
          <cell r="F91">
            <v>62299.944138240302</v>
          </cell>
        </row>
        <row r="92">
          <cell r="E92">
            <v>1294708.8052277851</v>
          </cell>
          <cell r="F92">
            <v>17859.194772214774</v>
          </cell>
        </row>
        <row r="93">
          <cell r="E93">
            <v>12600</v>
          </cell>
        </row>
        <row r="94">
          <cell r="E94">
            <v>205500</v>
          </cell>
        </row>
        <row r="95">
          <cell r="E95">
            <v>394557.47975808801</v>
          </cell>
          <cell r="F95">
            <v>5442.5202419119687</v>
          </cell>
        </row>
        <row r="96">
          <cell r="E96">
            <v>120000</v>
          </cell>
        </row>
        <row r="98">
          <cell r="E98">
            <v>493196.84969761001</v>
          </cell>
          <cell r="F98">
            <v>6803.1503023899613</v>
          </cell>
        </row>
        <row r="102">
          <cell r="E102">
            <v>3452377.9478832702</v>
          </cell>
          <cell r="F102">
            <v>47622.052116729727</v>
          </cell>
        </row>
        <row r="112">
          <cell r="D112">
            <v>207500</v>
          </cell>
        </row>
        <row r="128">
          <cell r="K128">
            <v>0.92774846249796528</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3" t="s">
        <v>2037</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ht="13">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ht="13">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3" t="s">
        <v>2038</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ht="13">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ht="13">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3" t="s">
        <v>2608</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15"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ht="13">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ht="13">
      <c r="A18" s="205"/>
      <c r="B18" s="205"/>
      <c r="C18" s="206"/>
      <c r="D18" s="520" t="s">
        <v>2607</v>
      </c>
      <c r="E18" s="442"/>
      <c r="G18" s="442"/>
      <c r="H18" s="442"/>
      <c r="I18" s="442"/>
      <c r="J18" s="1265" t="s">
        <v>2606</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3" t="s">
        <v>2039</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ht="13">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ht="13">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15"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ht="13">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ht="13">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ht="13">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ht="13">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ht="13">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3" t="s">
        <v>2040</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ht="13">
      <c r="A31" s="205"/>
      <c r="B31" s="205"/>
      <c r="C31" s="206"/>
      <c r="D31" s="456"/>
      <c r="E31" s="1271" t="s">
        <v>2522</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ht="13">
      <c r="A32" s="4"/>
      <c r="C32" s="2"/>
    </row>
    <row r="33" spans="1:38">
      <c r="A33" s="4"/>
      <c r="D33" s="1264" t="s">
        <v>2144</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2047</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2048</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2042</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6" t="s">
        <v>576</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6" t="s">
        <v>2043</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1259</v>
      </c>
    </row>
    <row r="368" spans="1:38" s="126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G8" zoomScale="60" zoomScaleNormal="60" workbookViewId="0">
      <selection activeCell="O20" sqref="O20"/>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58" t="s">
        <v>1586</v>
      </c>
      <c r="B1" s="2658"/>
      <c r="C1" s="2658"/>
      <c r="D1" s="2658"/>
      <c r="E1" s="2658"/>
      <c r="F1" s="2658"/>
      <c r="G1" s="2658"/>
      <c r="H1" s="2658"/>
      <c r="I1" s="2658"/>
      <c r="J1" s="2658"/>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34285622</v>
      </c>
      <c r="I3" s="1107"/>
    </row>
    <row r="4" spans="1:13" s="1052" customFormat="1" ht="20.149999999999999" customHeight="1">
      <c r="B4" s="1096"/>
      <c r="D4" s="1110"/>
      <c r="F4" s="1094" t="s">
        <v>1994</v>
      </c>
      <c r="G4" s="1093" t="s">
        <v>1993</v>
      </c>
      <c r="H4" s="1095">
        <f ca="1">I18</f>
        <v>40180688.874000728</v>
      </c>
      <c r="I4" s="1097"/>
      <c r="K4" s="1056"/>
    </row>
    <row r="5" spans="1:13" s="1052" customFormat="1" ht="20.149999999999999" customHeight="1" thickBot="1">
      <c r="B5" s="1098"/>
      <c r="C5" s="1099"/>
      <c r="D5" s="1111"/>
      <c r="E5" s="1100"/>
      <c r="F5" s="1111" t="s">
        <v>1943</v>
      </c>
      <c r="G5" s="1112"/>
      <c r="H5" s="1108">
        <f ca="1">IFERROR(H3/H4,0)</f>
        <v>0.85328606753143088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1" t="s">
        <v>1941</v>
      </c>
      <c r="C8" s="2662"/>
      <c r="D8" s="2662"/>
      <c r="E8" s="2663"/>
      <c r="G8" s="2664" t="s">
        <v>1942</v>
      </c>
      <c r="H8" s="2665"/>
      <c r="I8" s="2666"/>
      <c r="K8" s="1058"/>
    </row>
    <row r="9" spans="1:13" ht="15" customHeight="1">
      <c r="A9" s="1047"/>
      <c r="B9" s="2659" t="s">
        <v>1975</v>
      </c>
      <c r="C9" s="2659"/>
      <c r="D9" s="2659"/>
      <c r="E9" s="1060">
        <f>G33</f>
        <v>7007500</v>
      </c>
      <c r="G9" s="2667" t="s">
        <v>1973</v>
      </c>
      <c r="H9" s="2667"/>
      <c r="I9" s="1061">
        <f>Application!AM554</f>
        <v>52605800.814821787</v>
      </c>
      <c r="K9" s="1062"/>
      <c r="M9" s="1063"/>
    </row>
    <row r="10" spans="1:13" ht="15" customHeight="1" thickBot="1">
      <c r="A10" s="1047"/>
      <c r="B10" s="2659" t="s">
        <v>1976</v>
      </c>
      <c r="C10" s="2659"/>
      <c r="D10" s="2659"/>
      <c r="E10" s="1061">
        <f>G47</f>
        <v>18589572</v>
      </c>
      <c r="G10" s="2671" t="s">
        <v>1944</v>
      </c>
      <c r="H10" s="2671"/>
      <c r="I10" s="1142">
        <f ca="1">'Basis &amp; Credits'!AB78</f>
        <v>0</v>
      </c>
      <c r="M10" s="1063"/>
    </row>
    <row r="11" spans="1:13" ht="15" customHeight="1">
      <c r="A11" s="1047"/>
      <c r="B11" s="2675" t="s">
        <v>2267</v>
      </c>
      <c r="C11" s="2676"/>
      <c r="D11" s="2677"/>
      <c r="E11" s="1061">
        <f>SUM(E12,E13)</f>
        <v>700000</v>
      </c>
      <c r="G11" s="2674" t="s">
        <v>1984</v>
      </c>
      <c r="H11" s="2674"/>
      <c r="I11" s="1141">
        <f ca="1">I9+I10</f>
        <v>52605800.814821787</v>
      </c>
      <c r="M11" s="1063"/>
    </row>
    <row r="12" spans="1:13" ht="15" customHeight="1">
      <c r="A12" s="1064"/>
      <c r="B12" s="2660" t="s">
        <v>2269</v>
      </c>
      <c r="C12" s="2660"/>
      <c r="D12" s="2660"/>
      <c r="E12" s="1167">
        <f>G56</f>
        <v>0</v>
      </c>
      <c r="M12" s="1063"/>
    </row>
    <row r="13" spans="1:13" ht="15" customHeight="1">
      <c r="A13" s="1050"/>
      <c r="B13" s="2660" t="s">
        <v>2270</v>
      </c>
      <c r="C13" s="2660"/>
      <c r="D13" s="2660"/>
      <c r="E13" s="1167">
        <f>G65</f>
        <v>700000</v>
      </c>
      <c r="G13" s="2664" t="s">
        <v>2008</v>
      </c>
      <c r="H13" s="2665"/>
      <c r="I13" s="2666"/>
      <c r="M13" s="1063"/>
    </row>
    <row r="14" spans="1:13" ht="15" customHeight="1">
      <c r="A14" s="1050"/>
      <c r="B14" s="2675" t="s">
        <v>2268</v>
      </c>
      <c r="C14" s="2676"/>
      <c r="D14" s="2677"/>
      <c r="E14" s="1169">
        <f>MAX(E15,E16)+E17</f>
        <v>7988550</v>
      </c>
      <c r="G14" s="2667" t="s">
        <v>139</v>
      </c>
      <c r="H14" s="2667"/>
      <c r="I14" s="1065">
        <f>15%*(AND(G120="Yes",G122&lt;&gt;""))</f>
        <v>0.15</v>
      </c>
      <c r="M14" s="1063"/>
    </row>
    <row r="15" spans="1:13" ht="15" customHeight="1">
      <c r="A15" s="1050"/>
      <c r="B15" s="2678" t="s">
        <v>2274</v>
      </c>
      <c r="C15" s="2679"/>
      <c r="D15" s="2680"/>
      <c r="E15" s="1167">
        <f>G80</f>
        <v>0</v>
      </c>
      <c r="G15" s="1139" t="s">
        <v>1985</v>
      </c>
      <c r="H15" s="1139"/>
      <c r="I15" s="1065">
        <f>IF(Application!AJ1032&gt;0,10%,IF(Application!AJ1036&gt;0,5%,0))</f>
        <v>0</v>
      </c>
      <c r="M15" s="1063"/>
    </row>
    <row r="16" spans="1:13" ht="15" customHeight="1">
      <c r="A16" s="1050"/>
      <c r="B16" s="2678" t="s">
        <v>2273</v>
      </c>
      <c r="C16" s="2679"/>
      <c r="D16" s="2680"/>
      <c r="E16" s="1167">
        <f>G90</f>
        <v>0</v>
      </c>
      <c r="G16" s="2667" t="s">
        <v>1986</v>
      </c>
      <c r="H16" s="2667"/>
      <c r="I16" s="1065">
        <f>G132</f>
        <v>8.6192810457516339E-2</v>
      </c>
    </row>
    <row r="17" spans="1:21" ht="15" customHeight="1" thickBot="1">
      <c r="A17" s="1050"/>
      <c r="B17" s="2678" t="s">
        <v>2272</v>
      </c>
      <c r="C17" s="2679"/>
      <c r="D17" s="2680"/>
      <c r="E17" s="1167">
        <f>G115</f>
        <v>7988550</v>
      </c>
      <c r="G17" s="2667" t="s">
        <v>2282</v>
      </c>
      <c r="H17" s="2667"/>
      <c r="I17" s="1065">
        <f>IF(AND(G139="Yes",OR(G136,G137)),IF(G143&gt;15%,15%,G143),0)</f>
        <v>0</v>
      </c>
    </row>
    <row r="18" spans="1:21" ht="15" customHeight="1">
      <c r="A18" s="1047"/>
      <c r="B18" s="2670" t="s">
        <v>1940</v>
      </c>
      <c r="C18" s="2670"/>
      <c r="D18" s="2670"/>
      <c r="E18" s="1113">
        <f>SUM(E9:E11,E14)</f>
        <v>34285622</v>
      </c>
      <c r="G18" s="1140" t="s">
        <v>1974</v>
      </c>
      <c r="H18" s="1140"/>
      <c r="I18" s="1114">
        <f ca="1">I11-((I11*I14)+(I11*I15)+(I11*I16)+(I11*I17))</f>
        <v>0</v>
      </c>
      <c r="M18" s="1066">
        <f>SUM(Cdlac[Quantity])</f>
        <v>127</v>
      </c>
      <c r="O18" s="1086" t="s">
        <v>583</v>
      </c>
      <c r="P18" s="1045">
        <f>MATCH(Application!T189,Application!CB160:CB217,0)</f>
        <v>1</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8</v>
      </c>
      <c r="N20" s="1072">
        <f>Application!AC718</f>
        <v>0.2</v>
      </c>
      <c r="O20" s="1072">
        <f>IF(Cdlac[[#This Row],[Quantity]]&gt;0,IF(Cdlac[[#This Row],[Federal]],30%,IF(AND(OR(NOT($G$38),$G$38=""),$G$43),40%,Cdlac[[#This Row],[iAMI]])),"")</f>
        <v>0.2</v>
      </c>
      <c r="P20" s="1066" cm="1">
        <f t="array" ref="P20">IF(Cdlac[[#This Row],[Quantity]]&gt;0,INDEX(TcacRents,$P$18,Cdlac[[#This Row],[Bedrooms]]+1)*Cdlac[[#This Row],[AMI]],"")</f>
        <v>544.80000000000007</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1280.1999999999998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13</v>
      </c>
      <c r="N21" s="1072">
        <f>Application!AC719</f>
        <v>0.3</v>
      </c>
      <c r="O21" s="1072">
        <f>IF(Cdlac[[#This Row],[Quantity]]&gt;0,IF(Cdlac[[#This Row],[Federal]],30%,IF(AND(OR(NOT($G$38),$G$38=""),$G$43),40%,Cdlac[[#This Row],[iAMI]])),"")</f>
        <v>0.3</v>
      </c>
      <c r="P21" s="1066" cm="1">
        <f t="array" ref="P21">IF(Cdlac[[#This Row],[Quantity]]&gt;0,INDEX(TcacRents,$P$18,Cdlac[[#This Row],[Bedrooms]]+1)*Cdlac[[#This Row],[AMI]],"")</f>
        <v>817.19999999999993</v>
      </c>
      <c r="Q21" s="1166"/>
      <c r="R21" s="1066" cm="1">
        <f t="array" ref="R21">IF(Cdlac[[#This Row],[Quantity]]&gt;0,INDEX(HudFmrs,$P$18,Cdlac[[#This Row],[Bedrooms]]+1),"")</f>
        <v>1825</v>
      </c>
      <c r="S21" s="1066">
        <f>IF(Cdlac[[#This Row],[Quantity]]&gt;0,MAX(0,Cdlac[[#This Row],[Fair Market Rent]]-IF(AND($G$37,$G$38,$G$38&lt;&gt;"",NOT(Cdlac[[#This Row],[Federal]]),Cdlac[[#This Row],[Preservation Rent]]&lt;&gt;""),Cdlac[[#This Row],[Preservation Rent]],Cdlac[[#This Row],[Restricted Rent]])),"")</f>
        <v>1007.8000000000001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8" t="s">
        <v>1988</v>
      </c>
      <c r="D22" s="2668" t="s">
        <v>1989</v>
      </c>
      <c r="E22" s="2668" t="s">
        <v>1990</v>
      </c>
      <c r="F22" s="2668" t="s">
        <v>1991</v>
      </c>
      <c r="G22" s="2668" t="s">
        <v>1987</v>
      </c>
      <c r="H22" s="1071"/>
      <c r="I22" s="1070"/>
      <c r="L22" s="1045">
        <f>IFERROR(MIN(4,MATCH(Application!B720,UnitSizes,0)-1),"")</f>
        <v>0</v>
      </c>
      <c r="M22" s="1066">
        <f>Application!G720</f>
        <v>12</v>
      </c>
      <c r="N22" s="1072">
        <f>Application!AC720</f>
        <v>0.5</v>
      </c>
      <c r="O22" s="1072">
        <f>IF(Cdlac[[#This Row],[Quantity]]&gt;0,IF(Cdlac[[#This Row],[Federal]],30%,IF(AND(OR(NOT($G$38),$G$38=""),$G$43),40%,Cdlac[[#This Row],[iAMI]])),"")</f>
        <v>0.5</v>
      </c>
      <c r="P22" s="1066" cm="1">
        <f t="array" ref="P22">IF(Cdlac[[#This Row],[Quantity]]&gt;0,INDEX(TcacRents,$P$18,Cdlac[[#This Row],[Bedrooms]]+1)*Cdlac[[#This Row],[AMI]],"")</f>
        <v>1362</v>
      </c>
      <c r="Q22" s="1166"/>
      <c r="R22" s="1066" cm="1">
        <f t="array" ref="R22">IF(Cdlac[[#This Row],[Quantity]]&gt;0,INDEX(HudFmrs,$P$18,Cdlac[[#This Row],[Bedrooms]]+1),"")</f>
        <v>1825</v>
      </c>
      <c r="S22" s="1066">
        <f>IF(Cdlac[[#This Row],[Quantity]]&gt;0,MAX(0,Cdlac[[#This Row],[Fair Market Rent]]-IF(AND($G$37,$G$38,$G$38&lt;&gt;"",NOT(Cdlac[[#This Row],[Federal]]),Cdlac[[#This Row],[Preservation Rent]]&lt;&gt;""),Cdlac[[#This Row],[Preservation Rent]],Cdlac[[#This Row],[Restricted Rent]])),"")</f>
        <v>463</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9"/>
      <c r="D23" s="2669"/>
      <c r="E23" s="2669"/>
      <c r="F23" s="2669"/>
      <c r="G23" s="2669"/>
      <c r="H23" s="1071"/>
      <c r="I23" s="1070"/>
      <c r="L23" s="1045">
        <f>IFERROR(MIN(4,MATCH(Application!B721,UnitSizes,0)-1),"")</f>
        <v>0</v>
      </c>
      <c r="M23" s="1066">
        <f>Application!G721</f>
        <v>3</v>
      </c>
      <c r="N23" s="1072">
        <f>Application!AC721</f>
        <v>0.6</v>
      </c>
      <c r="O23" s="1072">
        <f>IF(Cdlac[[#This Row],[Quantity]]&gt;0,IF(Cdlac[[#This Row],[Federal]],30%,IF(AND(OR(NOT($G$38),$G$38=""),$G$43),40%,Cdlac[[#This Row],[iAMI]])),"")</f>
        <v>0.6</v>
      </c>
      <c r="P23" s="1066" cm="1">
        <f t="array" ref="P23">IF(Cdlac[[#This Row],[Quantity]]&gt;0,INDEX(TcacRents,$P$18,Cdlac[[#This Row],[Bedrooms]]+1)*Cdlac[[#This Row],[AMI]],"")</f>
        <v>1634.3999999999999</v>
      </c>
      <c r="Q23" s="1166"/>
      <c r="R23" s="1066" cm="1">
        <f t="array" ref="R23">IF(Cdlac[[#This Row],[Quantity]]&gt;0,INDEX(HudFmrs,$P$18,Cdlac[[#This Row],[Bedrooms]]+1),"")</f>
        <v>1825</v>
      </c>
      <c r="S23" s="1066">
        <f>IF(Cdlac[[#This Row],[Quantity]]&gt;0,MAX(0,Cdlac[[#This Row],[Fair Market Rent]]-IF(AND($G$37,$G$38,$G$38&lt;&gt;"",NOT(Cdlac[[#This Row],[Federal]]),Cdlac[[#This Row],[Preservation Rent]]&lt;&gt;""),Cdlac[[#This Row],[Preservation Rent]],Cdlac[[#This Row],[Restricted Rent]])),"")</f>
        <v>190.60000000000014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36</v>
      </c>
      <c r="F24" s="1073">
        <f>E24</f>
        <v>36</v>
      </c>
      <c r="G24" s="1073">
        <f>D24*F24</f>
        <v>32.4</v>
      </c>
      <c r="L24" s="1045">
        <f>IFERROR(MIN(4,MATCH(Application!B722,UnitSizes,0)-1),"")</f>
        <v>1</v>
      </c>
      <c r="M24" s="1066">
        <f>Application!G722</f>
        <v>1</v>
      </c>
      <c r="N24" s="1072">
        <f>Application!AC722</f>
        <v>0.2</v>
      </c>
      <c r="O24" s="1072">
        <f>IF(Cdlac[[#This Row],[Quantity]]&gt;0,IF(Cdlac[[#This Row],[Federal]],30%,IF(AND(OR(NOT($G$38),$G$38=""),$G$43),40%,Cdlac[[#This Row],[iAMI]])),"")</f>
        <v>0.2</v>
      </c>
      <c r="P24" s="1066" cm="1">
        <f t="array" ref="P24">IF(Cdlac[[#This Row],[Quantity]]&gt;0,INDEX(TcacRents,$P$18,Cdlac[[#This Row],[Bedrooms]]+1)*Cdlac[[#This Row],[AMI]],"")</f>
        <v>584</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1547</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44</v>
      </c>
      <c r="F25" s="1073">
        <f>E25</f>
        <v>44</v>
      </c>
      <c r="G25" s="1073">
        <f>D25*F25</f>
        <v>44</v>
      </c>
      <c r="L25" s="1045">
        <f>IFERROR(MIN(4,MATCH(Application!B723,UnitSizes,0)-1),"")</f>
        <v>1</v>
      </c>
      <c r="M25" s="1066">
        <f>Application!G723</f>
        <v>8</v>
      </c>
      <c r="N25" s="1072">
        <f>Application!AC723</f>
        <v>0.3</v>
      </c>
      <c r="O25" s="1072">
        <f>IF(Cdlac[[#This Row],[Quantity]]&gt;0,IF(Cdlac[[#This Row],[Federal]],30%,IF(AND(OR(NOT($G$38),$G$38=""),$G$43),40%,Cdlac[[#This Row],[iAMI]])),"")</f>
        <v>0.3</v>
      </c>
      <c r="P25" s="1066" cm="1">
        <f t="array" ref="P25">IF(Cdlac[[#This Row],[Quantity]]&gt;0,INDEX(TcacRents,$P$18,Cdlac[[#This Row],[Bedrooms]]+1)*Cdlac[[#This Row],[AMI]],"")</f>
        <v>876</v>
      </c>
      <c r="Q25" s="1166"/>
      <c r="R25" s="1066" cm="1">
        <f t="array" ref="R25">IF(Cdlac[[#This Row],[Quantity]]&gt;0,INDEX(HudFmrs,$P$18,Cdlac[[#This Row],[Bedrooms]]+1),"")</f>
        <v>2131</v>
      </c>
      <c r="S25" s="1066">
        <f>IF(Cdlac[[#This Row],[Quantity]]&gt;0,MAX(0,Cdlac[[#This Row],[Fair Market Rent]]-IF(AND($G$37,$G$38,$G$38&lt;&gt;"",NOT(Cdlac[[#This Row],[Federal]]),Cdlac[[#This Row],[Preservation Rent]]&lt;&gt;""),Cdlac[[#This Row],[Preservation Rent]],Cdlac[[#This Row],[Restricted Rent]])),"")</f>
        <v>1255</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27</v>
      </c>
      <c r="F26" s="1076">
        <f>SUM(E26:E28)-SUM(F27:F28)</f>
        <v>27</v>
      </c>
      <c r="G26" s="1073">
        <f>D26*F26</f>
        <v>33.75</v>
      </c>
      <c r="H26" s="1075"/>
      <c r="I26" s="1075"/>
      <c r="L26" s="1045">
        <f>IFERROR(MIN(4,MATCH(Application!B724,UnitSizes,0)-1),"")</f>
        <v>1</v>
      </c>
      <c r="M26" s="1066">
        <f>Application!G724</f>
        <v>23</v>
      </c>
      <c r="N26" s="1072">
        <f>Application!AC724</f>
        <v>0.5</v>
      </c>
      <c r="O26" s="1072">
        <f>IF(Cdlac[[#This Row],[Quantity]]&gt;0,IF(Cdlac[[#This Row],[Federal]],30%,IF(AND(OR(NOT($G$38),$G$38=""),$G$43),40%,Cdlac[[#This Row],[iAMI]])),"")</f>
        <v>0.5</v>
      </c>
      <c r="P26" s="1066" cm="1">
        <f t="array" ref="P26">IF(Cdlac[[#This Row],[Quantity]]&gt;0,INDEX(TcacRents,$P$18,Cdlac[[#This Row],[Bedrooms]]+1)*Cdlac[[#This Row],[AMI]],"")</f>
        <v>1460</v>
      </c>
      <c r="Q26" s="1166"/>
      <c r="R26" s="1066" cm="1">
        <f t="array" ref="R26">IF(Cdlac[[#This Row],[Quantity]]&gt;0,INDEX(HudFmrs,$P$18,Cdlac[[#This Row],[Bedrooms]]+1),"")</f>
        <v>2131</v>
      </c>
      <c r="S26" s="1066">
        <f>IF(Cdlac[[#This Row],[Quantity]]&gt;0,MAX(0,Cdlac[[#This Row],[Fair Market Rent]]-IF(AND($G$37,$G$38,$G$38&lt;&gt;"",NOT(Cdlac[[#This Row],[Federal]]),Cdlac[[#This Row],[Preservation Rent]]&lt;&gt;""),Cdlac[[#This Row],[Preservation Rent]],Cdlac[[#This Row],[Restricted Rent]])),"")</f>
        <v>671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20</v>
      </c>
      <c r="F27" s="1076">
        <f>MIN(E27,ROUNDDOWN(E29*30%,0))</f>
        <v>20</v>
      </c>
      <c r="G27" s="1073">
        <f>D27*F27</f>
        <v>30</v>
      </c>
      <c r="H27" s="1075"/>
      <c r="I27" s="1075"/>
      <c r="L27" s="1045">
        <f>IFERROR(MIN(4,MATCH(Application!B725,UnitSizes,0)-1),"")</f>
        <v>1</v>
      </c>
      <c r="M27" s="1066">
        <f>Application!G725</f>
        <v>11</v>
      </c>
      <c r="N27" s="1072">
        <f>Application!AC725</f>
        <v>0.6</v>
      </c>
      <c r="O27" s="1072">
        <f>IF(Cdlac[[#This Row],[Quantity]]&gt;0,IF(Cdlac[[#This Row],[Federal]],30%,IF(AND(OR(NOT($G$38),$G$38=""),$G$43),40%,Cdlac[[#This Row],[iAMI]])),"")</f>
        <v>0.6</v>
      </c>
      <c r="P27" s="1066" cm="1">
        <f t="array" ref="P27">IF(Cdlac[[#This Row],[Quantity]]&gt;0,INDEX(TcacRents,$P$18,Cdlac[[#This Row],[Bedrooms]]+1)*Cdlac[[#This Row],[AMI]],"")</f>
        <v>1752</v>
      </c>
      <c r="Q27" s="1166"/>
      <c r="R27" s="1066" cm="1">
        <f t="array" ref="R27">IF(Cdlac[[#This Row],[Quantity]]&gt;0,INDEX(HudFmrs,$P$18,Cdlac[[#This Row],[Bedrooms]]+1),"")</f>
        <v>2131</v>
      </c>
      <c r="S27" s="1066">
        <f>IF(Cdlac[[#This Row],[Quantity]]&gt;0,MAX(0,Cdlac[[#This Row],[Fair Market Rent]]-IF(AND($G$37,$G$38,$G$38&lt;&gt;"",NOT(Cdlac[[#This Row],[Federal]]),Cdlac[[#This Row],[Preservation Rent]]&lt;&gt;""),Cdlac[[#This Row],[Preservation Rent]],Cdlac[[#This Row],[Restricted Rent]])),"")</f>
        <v>379</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1</v>
      </c>
      <c r="M28" s="1066">
        <f>Application!G726</f>
        <v>1</v>
      </c>
      <c r="N28" s="1072">
        <f>Application!AC726</f>
        <v>0.8</v>
      </c>
      <c r="O28" s="1072">
        <f>IF(Cdlac[[#This Row],[Quantity]]&gt;0,IF(Cdlac[[#This Row],[Federal]],30%,IF(AND(OR(NOT($G$38),$G$38=""),$G$43),40%,Cdlac[[#This Row],[iAMI]])),"")</f>
        <v>0.8</v>
      </c>
      <c r="P28" s="1066" cm="1">
        <f t="array" ref="P28">IF(Cdlac[[#This Row],[Quantity]]&gt;0,INDEX(TcacRents,$P$18,Cdlac[[#This Row],[Bedrooms]]+1)*Cdlac[[#This Row],[AMI]],"")</f>
        <v>2336</v>
      </c>
      <c r="Q28" s="1166"/>
      <c r="R28" s="1066" cm="1">
        <f t="array" ref="R28">IF(Cdlac[[#This Row],[Quantity]]&gt;0,INDEX(HudFmrs,$P$18,Cdlac[[#This Row],[Bedrooms]]+1),"")</f>
        <v>2131</v>
      </c>
      <c r="S28" s="1066">
        <f>IF(Cdlac[[#This Row],[Quantity]]&gt;0,MAX(0,Cdlac[[#This Row],[Fair Market Rent]]-IF(AND($G$37,$G$38,$G$38&lt;&gt;"",NOT(Cdlac[[#This Row],[Federal]]),Cdlac[[#This Row],[Preservation Rent]]&lt;&gt;""),Cdlac[[#This Row],[Preservation Rent]],Cdlac[[#This Row],[Restricted Rent]])),"")</f>
        <v>0</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2" t="s">
        <v>1587</v>
      </c>
      <c r="D29" s="2683"/>
      <c r="E29" s="1091">
        <f>SUM(E24:E28)</f>
        <v>127</v>
      </c>
      <c r="F29" s="1091">
        <f>SUM(F24:F28)</f>
        <v>127</v>
      </c>
      <c r="G29" s="1092">
        <f>SUMPRODUCT(D24:D28,F24:F28)</f>
        <v>140.15</v>
      </c>
      <c r="H29" s="1075"/>
      <c r="I29" s="1075"/>
      <c r="L29" s="1045">
        <f>IFERROR(MIN(4,MATCH(Application!B727,UnitSizes,0)-1),"")</f>
        <v>2</v>
      </c>
      <c r="M29" s="1066">
        <f>Application!G727</f>
        <v>3</v>
      </c>
      <c r="N29" s="1072">
        <f>Application!AC727</f>
        <v>0.3</v>
      </c>
      <c r="O29" s="1072">
        <f>IF(Cdlac[[#This Row],[Quantity]]&gt;0,IF(Cdlac[[#This Row],[Federal]],30%,IF(AND(OR(NOT($G$38),$G$38=""),$G$43),40%,Cdlac[[#This Row],[iAMI]])),"")</f>
        <v>0.3</v>
      </c>
      <c r="P29" s="1066" cm="1">
        <f t="array" ref="P29">IF(Cdlac[[#This Row],[Quantity]]&gt;0,INDEX(TcacRents,$P$18,Cdlac[[#This Row],[Bedrooms]]+1)*Cdlac[[#This Row],[AMI]],"")</f>
        <v>1051.2</v>
      </c>
      <c r="Q29" s="1166"/>
      <c r="R29" s="1066" cm="1">
        <f t="array" ref="R29">IF(Cdlac[[#This Row],[Quantity]]&gt;0,INDEX(HudFmrs,$P$18,Cdlac[[#This Row],[Bedrooms]]+1),"")</f>
        <v>2590</v>
      </c>
      <c r="S29" s="1066">
        <f>IF(Cdlac[[#This Row],[Quantity]]&gt;0,MAX(0,Cdlac[[#This Row],[Fair Market Rent]]-IF(AND($G$37,$G$38,$G$38&lt;&gt;"",NOT(Cdlac[[#This Row],[Federal]]),Cdlac[[#This Row],[Preservation Rent]]&lt;&gt;""),Cdlac[[#This Row],[Preservation Rent]],Cdlac[[#This Row],[Restricted Rent]])),"")</f>
        <v>1538.8</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13</v>
      </c>
      <c r="N30" s="1072">
        <f>Application!AC728</f>
        <v>0.5</v>
      </c>
      <c r="O30" s="1072">
        <f>IF(Cdlac[[#This Row],[Quantity]]&gt;0,IF(Cdlac[[#This Row],[Federal]],30%,IF(AND(OR(NOT($G$38),$G$38=""),$G$43),40%,Cdlac[[#This Row],[iAMI]])),"")</f>
        <v>0.5</v>
      </c>
      <c r="P30" s="1066" cm="1">
        <f t="array" ref="P30">IF(Cdlac[[#This Row],[Quantity]]&gt;0,INDEX(TcacRents,$P$18,Cdlac[[#This Row],[Bedrooms]]+1)*Cdlac[[#This Row],[AMI]],"")</f>
        <v>1752</v>
      </c>
      <c r="Q30" s="1166"/>
      <c r="R30" s="1066" cm="1">
        <f t="array" ref="R30">IF(Cdlac[[#This Row],[Quantity]]&gt;0,INDEX(HudFmrs,$P$18,Cdlac[[#This Row],[Bedrooms]]+1),"")</f>
        <v>2590</v>
      </c>
      <c r="S30" s="1066">
        <f>IF(Cdlac[[#This Row],[Quantity]]&gt;0,MAX(0,Cdlac[[#This Row],[Fair Market Rent]]-IF(AND($G$37,$G$38,$G$38&lt;&gt;"",NOT(Cdlac[[#This Row],[Federal]]),Cdlac[[#This Row],[Preservation Rent]]&lt;&gt;""),Cdlac[[#This Row],[Preservation Rent]],Cdlac[[#This Row],[Restricted Rent]])),"")</f>
        <v>838</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140.15</v>
      </c>
      <c r="H31" s="1075"/>
      <c r="I31" s="1075"/>
      <c r="L31" s="1045">
        <f>IFERROR(MIN(4,MATCH(Application!B729,UnitSizes,0)-1),"")</f>
        <v>2</v>
      </c>
      <c r="M31" s="1066">
        <f>Application!G729</f>
        <v>9</v>
      </c>
      <c r="N31" s="1072">
        <f>Application!AC729</f>
        <v>0.6</v>
      </c>
      <c r="O31" s="1072">
        <f>IF(Cdlac[[#This Row],[Quantity]]&gt;0,IF(Cdlac[[#This Row],[Federal]],30%,IF(AND(OR(NOT($G$38),$G$38=""),$G$43),40%,Cdlac[[#This Row],[iAMI]])),"")</f>
        <v>0.6</v>
      </c>
      <c r="P31" s="1066" cm="1">
        <f t="array" ref="P31">IF(Cdlac[[#This Row],[Quantity]]&gt;0,INDEX(TcacRents,$P$18,Cdlac[[#This Row],[Bedrooms]]+1)*Cdlac[[#This Row],[AMI]],"")</f>
        <v>2102.4</v>
      </c>
      <c r="Q31" s="1166"/>
      <c r="R31" s="1066" cm="1">
        <f t="array" ref="R31">IF(Cdlac[[#This Row],[Quantity]]&gt;0,INDEX(HudFmrs,$P$18,Cdlac[[#This Row],[Bedrooms]]+1),"")</f>
        <v>2590</v>
      </c>
      <c r="S31" s="1066">
        <f>IF(Cdlac[[#This Row],[Quantity]]&gt;0,MAX(0,Cdlac[[#This Row],[Fair Market Rent]]-IF(AND($G$37,$G$38,$G$38&lt;&gt;"",NOT(Cdlac[[#This Row],[Federal]]),Cdlac[[#This Row],[Preservation Rent]]&lt;&gt;""),Cdlac[[#This Row],[Preservation Rent]],Cdlac[[#This Row],[Restricted Rent]])),"")</f>
        <v>487.59999999999991</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f>IFERROR(MIN(4,MATCH(Application!B730,UnitSizes,0)-1),"")</f>
        <v>2</v>
      </c>
      <c r="M32" s="1066">
        <f>Application!G730</f>
        <v>2</v>
      </c>
      <c r="N32" s="1072">
        <f>Application!AC730</f>
        <v>0.8</v>
      </c>
      <c r="O32" s="1072">
        <f>IF(Cdlac[[#This Row],[Quantity]]&gt;0,IF(Cdlac[[#This Row],[Federal]],30%,IF(AND(OR(NOT($G$38),$G$38=""),$G$43),40%,Cdlac[[#This Row],[iAMI]])),"")</f>
        <v>0.8</v>
      </c>
      <c r="P32" s="1066" cm="1">
        <f t="array" ref="P32">IF(Cdlac[[#This Row],[Quantity]]&gt;0,INDEX(TcacRents,$P$18,Cdlac[[#This Row],[Bedrooms]]+1)*Cdlac[[#This Row],[AMI]],"")</f>
        <v>2803.2000000000003</v>
      </c>
      <c r="Q32" s="1166"/>
      <c r="R32" s="1066" cm="1">
        <f t="array" ref="R32">IF(Cdlac[[#This Row],[Quantity]]&gt;0,INDEX(HudFmrs,$P$18,Cdlac[[#This Row],[Bedrooms]]+1),"")</f>
        <v>2590</v>
      </c>
      <c r="S32" s="1066">
        <f>IF(Cdlac[[#This Row],[Quantity]]&gt;0,MAX(0,Cdlac[[#This Row],[Fair Market Rent]]-IF(AND($G$37,$G$38,$G$38&lt;&gt;"",NOT(Cdlac[[#This Row],[Federal]]),Cdlac[[#This Row],[Preservation Rent]]&lt;&gt;""),Cdlac[[#This Row],[Preservation Rent]],Cdlac[[#This Row],[Restricted Rent]])),"")</f>
        <v>0</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7007500</v>
      </c>
      <c r="H33" s="1075"/>
      <c r="I33" s="1075"/>
      <c r="L33" s="1045">
        <f>IFERROR(MIN(4,MATCH(Application!B731,UnitSizes,0)-1),"")</f>
        <v>3</v>
      </c>
      <c r="M33" s="1066">
        <f>Application!G731</f>
        <v>2</v>
      </c>
      <c r="N33" s="1072">
        <f>Application!AC731</f>
        <v>0.3</v>
      </c>
      <c r="O33" s="1072">
        <f>IF(Cdlac[[#This Row],[Quantity]]&gt;0,IF(Cdlac[[#This Row],[Federal]],30%,IF(AND(OR(NOT($G$38),$G$38=""),$G$43),40%,Cdlac[[#This Row],[iAMI]])),"")</f>
        <v>0.3</v>
      </c>
      <c r="P33" s="1066" cm="1">
        <f t="array" ref="P33">IF(Cdlac[[#This Row],[Quantity]]&gt;0,INDEX(TcacRents,$P$18,Cdlac[[#This Row],[Bedrooms]]+1)*Cdlac[[#This Row],[AMI]],"")</f>
        <v>1214.3999999999999</v>
      </c>
      <c r="Q33" s="1166"/>
      <c r="R33" s="1066" cm="1">
        <f t="array" ref="R33">IF(Cdlac[[#This Row],[Quantity]]&gt;0,INDEX(HudFmrs,$P$18,Cdlac[[#This Row],[Bedrooms]]+1),"")</f>
        <v>3342</v>
      </c>
      <c r="S33" s="1066">
        <f>IF(Cdlac[[#This Row],[Quantity]]&gt;0,MAX(0,Cdlac[[#This Row],[Fair Market Rent]]-IF(AND($G$37,$G$38,$G$38&lt;&gt;"",NOT(Cdlac[[#This Row],[Federal]]),Cdlac[[#This Row],[Preservation Rent]]&lt;&gt;""),Cdlac[[#This Row],[Preservation Rent]],Cdlac[[#This Row],[Restricted Rent]])),"")</f>
        <v>2127.6000000000004</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f>IFERROR(MIN(4,MATCH(Application!B732,UnitSizes,0)-1),"")</f>
        <v>3</v>
      </c>
      <c r="M34" s="1066">
        <f>Application!G732</f>
        <v>11</v>
      </c>
      <c r="N34" s="1072">
        <f>Application!AC732</f>
        <v>0.5</v>
      </c>
      <c r="O34" s="1072">
        <f>IF(Cdlac[[#This Row],[Quantity]]&gt;0,IF(Cdlac[[#This Row],[Federal]],30%,IF(AND(OR(NOT($G$38),$G$38=""),$G$43),40%,Cdlac[[#This Row],[iAMI]])),"")</f>
        <v>0.5</v>
      </c>
      <c r="P34" s="1066" cm="1">
        <f t="array" ref="P34">IF(Cdlac[[#This Row],[Quantity]]&gt;0,INDEX(TcacRents,$P$18,Cdlac[[#This Row],[Bedrooms]]+1)*Cdlac[[#This Row],[AMI]],"")</f>
        <v>2024</v>
      </c>
      <c r="Q34" s="1166"/>
      <c r="R34" s="1066" cm="1">
        <f t="array" ref="R34">IF(Cdlac[[#This Row],[Quantity]]&gt;0,INDEX(HudFmrs,$P$18,Cdlac[[#This Row],[Bedrooms]]+1),"")</f>
        <v>3342</v>
      </c>
      <c r="S34" s="1066">
        <f>IF(Cdlac[[#This Row],[Quantity]]&gt;0,MAX(0,Cdlac[[#This Row],[Fair Market Rent]]-IF(AND($G$37,$G$38,$G$38&lt;&gt;"",NOT(Cdlac[[#This Row],[Federal]]),Cdlac[[#This Row],[Preservation Rent]]&lt;&gt;""),Cdlac[[#This Row],[Preservation Rent]],Cdlac[[#This Row],[Restricted Rent]])),"")</f>
        <v>1318</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f>IFERROR(MIN(4,MATCH(Application!B733,UnitSizes,0)-1),"")</f>
        <v>3</v>
      </c>
      <c r="M35" s="1066">
        <f>Application!G733</f>
        <v>4</v>
      </c>
      <c r="N35" s="1072">
        <f>Application!AC733</f>
        <v>0.6</v>
      </c>
      <c r="O35" s="1072">
        <f>IF(Cdlac[[#This Row],[Quantity]]&gt;0,IF(Cdlac[[#This Row],[Federal]],30%,IF(AND(OR(NOT($G$38),$G$38=""),$G$43),40%,Cdlac[[#This Row],[iAMI]])),"")</f>
        <v>0.6</v>
      </c>
      <c r="P35" s="1066" cm="1">
        <f t="array" ref="P35">IF(Cdlac[[#This Row],[Quantity]]&gt;0,INDEX(TcacRents,$P$18,Cdlac[[#This Row],[Bedrooms]]+1)*Cdlac[[#This Row],[AMI]],"")</f>
        <v>2428.7999999999997</v>
      </c>
      <c r="Q35" s="1166"/>
      <c r="R35" s="1066" cm="1">
        <f t="array" ref="R35">IF(Cdlac[[#This Row],[Quantity]]&gt;0,INDEX(HudFmrs,$P$18,Cdlac[[#This Row],[Bedrooms]]+1),"")</f>
        <v>3342</v>
      </c>
      <c r="S35" s="1066">
        <f>IF(Cdlac[[#This Row],[Quantity]]&gt;0,MAX(0,Cdlac[[#This Row],[Fair Market Rent]]-IF(AND($G$37,$G$38,$G$38&lt;&gt;"",NOT(Cdlac[[#This Row],[Federal]]),Cdlac[[#This Row],[Preservation Rent]]&lt;&gt;""),Cdlac[[#This Row],[Preservation Rent]],Cdlac[[#This Row],[Restricted Rent]])),"")</f>
        <v>913.20000000000027</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f>IFERROR(MIN(4,MATCH(Application!B734,UnitSizes,0)-1),"")</f>
        <v>3</v>
      </c>
      <c r="M36" s="1066">
        <f>Application!G734</f>
        <v>3</v>
      </c>
      <c r="N36" s="1072">
        <f>Application!AC734</f>
        <v>0.8</v>
      </c>
      <c r="O36" s="1072">
        <f>IF(Cdlac[[#This Row],[Quantity]]&gt;0,IF(Cdlac[[#This Row],[Federal]],30%,IF(AND(OR(NOT($G$38),$G$38=""),$G$43),40%,Cdlac[[#This Row],[iAMI]])),"")</f>
        <v>0.8</v>
      </c>
      <c r="P36" s="1066" cm="1">
        <f t="array" ref="P36">IF(Cdlac[[#This Row],[Quantity]]&gt;0,INDEX(TcacRents,$P$18,Cdlac[[#This Row],[Bedrooms]]+1)*Cdlac[[#This Row],[AMI]],"")</f>
        <v>3238.4</v>
      </c>
      <c r="Q36" s="1166"/>
      <c r="R36" s="1066" cm="1">
        <f t="array" ref="R36">IF(Cdlac[[#This Row],[Quantity]]&gt;0,INDEX(HudFmrs,$P$18,Cdlac[[#This Row],[Bedrooms]]+1),"")</f>
        <v>3342</v>
      </c>
      <c r="S36" s="1066">
        <f>IF(Cdlac[[#This Row],[Quantity]]&gt;0,MAX(0,Cdlac[[#This Row],[Fair Market Rent]]-IF(AND($G$37,$G$38,$G$38&lt;&gt;"",NOT(Cdlac[[#This Row],[Federal]]),Cdlac[[#This Row],[Preservation Rent]]&lt;&gt;""),Cdlac[[#This Row],[Preservation Rent]],Cdlac[[#This Row],[Restricted Rent]])),"")</f>
        <v>103.59999999999991</v>
      </c>
      <c r="T36" s="1045">
        <f>IF(Cdlac[[#This Row],[Quantity]]&gt;0,AND(Application!AK734&lt;&gt;"N/A",Application!AK734&lt;&gt;"")*Cdlac[[#This Row],[Quantity]],"")</f>
        <v>0</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0.47322834645669287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103275.40000000001</v>
      </c>
    </row>
    <row r="46" spans="1:21" ht="15" customHeight="1">
      <c r="E46" s="1119" t="s">
        <v>2007</v>
      </c>
      <c r="F46" s="1115" t="s">
        <v>1995</v>
      </c>
      <c r="G46" s="1123">
        <f>12*15</f>
        <v>180</v>
      </c>
    </row>
    <row r="47" spans="1:21" ht="15" customHeight="1">
      <c r="E47" s="1124" t="s">
        <v>1945</v>
      </c>
      <c r="F47" s="1047"/>
      <c r="G47" s="1125">
        <f>G45*G46</f>
        <v>18589572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63</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35</v>
      </c>
    </row>
    <row r="61" spans="2:9" ht="15" customHeight="1">
      <c r="E61" s="1119" t="s">
        <v>1997</v>
      </c>
      <c r="G61" s="1080">
        <f>ROUNDDOWN(E29*50%,0)</f>
        <v>63</v>
      </c>
    </row>
    <row r="62" spans="2:9" ht="15" customHeight="1">
      <c r="E62" s="1119"/>
      <c r="G62" s="1080"/>
    </row>
    <row r="63" spans="2:9" ht="15" customHeight="1">
      <c r="E63" s="1119" t="s">
        <v>1956</v>
      </c>
      <c r="G63" s="1116">
        <f>MIN(G60:G61)</f>
        <v>35</v>
      </c>
    </row>
    <row r="64" spans="2:9" ht="15" customHeight="1">
      <c r="E64" s="1119" t="s">
        <v>1946</v>
      </c>
      <c r="F64" s="1115" t="s">
        <v>1995</v>
      </c>
      <c r="G64" s="1126">
        <v>20000</v>
      </c>
    </row>
    <row r="65" spans="2:14" ht="15" customHeight="1">
      <c r="E65" s="1120" t="s">
        <v>1978</v>
      </c>
      <c r="F65" s="1047"/>
      <c r="G65" s="1125">
        <f>G63*G64</f>
        <v>700000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High Resource</v>
      </c>
      <c r="L72" s="2655" t="s">
        <v>1971</v>
      </c>
      <c r="M72" s="2656"/>
      <c r="N72" s="1133">
        <v>30000</v>
      </c>
    </row>
    <row r="73" spans="2:14" ht="15" customHeight="1">
      <c r="C73" s="2657" t="s">
        <v>2266</v>
      </c>
      <c r="D73" s="2657"/>
      <c r="E73" s="2657"/>
      <c r="F73" s="2657"/>
      <c r="G73" s="1044" t="s">
        <v>670</v>
      </c>
      <c r="L73" s="2672" t="s">
        <v>1939</v>
      </c>
      <c r="M73" s="2673"/>
      <c r="N73" s="1134">
        <v>20000</v>
      </c>
    </row>
    <row r="74" spans="2:14" ht="15" customHeight="1" thickBot="1">
      <c r="C74" s="2657"/>
      <c r="D74" s="2657"/>
      <c r="E74" s="2657"/>
      <c r="F74" s="2657"/>
      <c r="L74" s="2647" t="s">
        <v>1972</v>
      </c>
      <c r="M74" s="2648"/>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20000</v>
      </c>
    </row>
    <row r="79" spans="2:14" ht="15" customHeight="1">
      <c r="E79" s="1086" t="str">
        <f>E96</f>
        <v>Bedroom-Adjusted Low-Income Units</v>
      </c>
      <c r="F79" s="1115" t="s">
        <v>1995</v>
      </c>
      <c r="G79" s="1116">
        <f>G29</f>
        <v>140.15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140.15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140.15</v>
      </c>
    </row>
    <row r="97" spans="2:14" ht="15" customHeight="1">
      <c r="E97" s="1120" t="s">
        <v>1963</v>
      </c>
      <c r="F97" s="1047"/>
      <c r="G97" s="1125">
        <f>G94*G95*G96</f>
        <v>3924200</v>
      </c>
      <c r="L97" s="1129" t="str">
        <f>'Points System'!H638</f>
        <v>N/A</v>
      </c>
      <c r="M97" s="2653" t="s">
        <v>1406</v>
      </c>
      <c r="N97" s="2654"/>
    </row>
    <row r="98" spans="2:14" ht="15" customHeight="1">
      <c r="C98" s="1078"/>
      <c r="G98" s="1116"/>
      <c r="L98" s="1130" t="str">
        <f>'Points System'!H650</f>
        <v>(ii)</v>
      </c>
      <c r="M98" s="2649" t="s">
        <v>1958</v>
      </c>
      <c r="N98" s="2650"/>
    </row>
    <row r="99" spans="2:14" ht="15" customHeight="1">
      <c r="E99" s="1086" t="s">
        <v>2000</v>
      </c>
      <c r="G99" s="1128">
        <f>COUNTIFS(L97:L104,"(i)")</f>
        <v>1</v>
      </c>
      <c r="L99" s="1130" t="str">
        <f>'Points System'!H685</f>
        <v>(ii)</v>
      </c>
      <c r="M99" s="2649" t="s">
        <v>1959</v>
      </c>
      <c r="N99" s="2650"/>
    </row>
    <row r="100" spans="2:14" ht="15" customHeight="1">
      <c r="E100" s="1086" t="s">
        <v>1946</v>
      </c>
      <c r="F100" s="1115" t="s">
        <v>1995</v>
      </c>
      <c r="G100" s="1126">
        <v>4000</v>
      </c>
      <c r="L100" s="1130" t="str">
        <f>IF(OR('Points System'!H709="(ii)",'Points System'!H709="(i)"),"(i)","N/A")</f>
        <v>N/A</v>
      </c>
      <c r="M100" s="2649" t="s">
        <v>1960</v>
      </c>
      <c r="N100" s="2650"/>
    </row>
    <row r="101" spans="2:14" ht="15" customHeight="1">
      <c r="E101" s="1120" t="s">
        <v>1964</v>
      </c>
      <c r="F101" s="1047"/>
      <c r="G101" s="1125">
        <f>G96*G99*G100</f>
        <v>560600</v>
      </c>
      <c r="L101" s="1131" t="str">
        <f>'Points System'!H723</f>
        <v>N/A</v>
      </c>
      <c r="M101" s="2649" t="s">
        <v>1432</v>
      </c>
      <c r="N101" s="2650"/>
    </row>
    <row r="102" spans="2:14" ht="15" customHeight="1">
      <c r="L102" s="1130" t="str">
        <f>'Points System'!H735</f>
        <v>N/A</v>
      </c>
      <c r="M102" s="2649" t="s">
        <v>1961</v>
      </c>
      <c r="N102" s="2650"/>
    </row>
    <row r="103" spans="2:14" ht="15" customHeight="1">
      <c r="C103" s="1081" t="s">
        <v>1966</v>
      </c>
      <c r="L103" s="1130" t="str">
        <f>'Points System'!H751</f>
        <v>N/A</v>
      </c>
      <c r="M103" s="2649" t="s">
        <v>1962</v>
      </c>
      <c r="N103" s="2650"/>
    </row>
    <row r="104" spans="2:14" ht="15" customHeight="1" thickBot="1">
      <c r="C104" s="1078" t="s">
        <v>1967</v>
      </c>
      <c r="G104" s="1044"/>
      <c r="L104" s="1132" t="str">
        <f>'Points System'!H763</f>
        <v>(i)</v>
      </c>
      <c r="M104" s="2651" t="s">
        <v>1435</v>
      </c>
      <c r="N104" s="2652"/>
    </row>
    <row r="105" spans="2:14" ht="15" customHeight="1">
      <c r="C105" s="1078" t="s">
        <v>1968</v>
      </c>
      <c r="G105" s="1044" t="s">
        <v>546</v>
      </c>
    </row>
    <row r="106" spans="2:14" ht="15" customHeight="1">
      <c r="C106" s="1078" t="s">
        <v>2142</v>
      </c>
      <c r="G106" s="1044"/>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140.15</v>
      </c>
    </row>
    <row r="112" spans="2:14" ht="15" customHeight="1">
      <c r="E112" s="1086" t="s">
        <v>1946</v>
      </c>
      <c r="F112" s="1115" t="s">
        <v>1995</v>
      </c>
      <c r="G112" s="1126">
        <v>25000</v>
      </c>
    </row>
    <row r="113" spans="2:9" ht="15" customHeight="1">
      <c r="E113" s="1120" t="s">
        <v>1965</v>
      </c>
      <c r="F113" s="1047"/>
      <c r="G113" s="1125">
        <f>G109*G112*G96</f>
        <v>3503750</v>
      </c>
    </row>
    <row r="114" spans="2:9" ht="15" customHeight="1">
      <c r="C114" s="1078"/>
      <c r="E114" s="1078"/>
    </row>
    <row r="115" spans="2:9" ht="15" customHeight="1">
      <c r="E115" s="1120" t="s">
        <v>2276</v>
      </c>
      <c r="G115" s="1125">
        <f>G113+G101+G97</f>
        <v>7988550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4" t="s">
        <v>2231</v>
      </c>
      <c r="D119" s="2684"/>
      <c r="E119" s="2684"/>
      <c r="F119" s="2684"/>
    </row>
    <row r="120" spans="2:9" ht="15" customHeight="1">
      <c r="C120" s="2684"/>
      <c r="D120" s="2684"/>
      <c r="E120" s="2684"/>
      <c r="F120" s="2684"/>
      <c r="G120" s="1044" t="s">
        <v>546</v>
      </c>
    </row>
    <row r="121" spans="2:9" ht="15" customHeight="1"/>
    <row r="122" spans="2:9" ht="15" customHeight="1">
      <c r="C122" s="1045" t="s">
        <v>2233</v>
      </c>
      <c r="G122" s="2686" t="s">
        <v>2752</v>
      </c>
      <c r="H122" s="2686"/>
    </row>
    <row r="123" spans="2:9" ht="15" customHeight="1">
      <c r="G123" s="2686"/>
      <c r="H123" s="2686"/>
    </row>
    <row r="124" spans="2:9" ht="15" customHeight="1">
      <c r="G124" s="2687"/>
      <c r="H124" s="2687"/>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2003</v>
      </c>
      <c r="G131" s="1079">
        <f>MEDIAN((Application!CU160:CU217))</f>
        <v>489600</v>
      </c>
    </row>
    <row r="132" spans="2:9">
      <c r="D132" s="1047"/>
      <c r="E132" s="1120" t="s">
        <v>2005</v>
      </c>
      <c r="F132" s="1136"/>
      <c r="G132" s="1137">
        <f>((G130-G131)/G131)*0.25</f>
        <v>8.6192810457516339E-2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81" t="s">
        <v>2279</v>
      </c>
      <c r="D138" s="2681"/>
      <c r="E138" s="2681"/>
      <c r="F138" s="2681"/>
    </row>
    <row r="139" spans="2:9">
      <c r="B139" s="1046"/>
      <c r="C139" s="2681"/>
      <c r="D139" s="2681"/>
      <c r="E139" s="2681"/>
      <c r="F139" s="2681"/>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7890870.1222232673</v>
      </c>
    </row>
  </sheetData>
  <sheetProtection algorithmName="SHA-512" hashValue="fpzwgWqO3J/Ty9hMcOJVhPoo4hybeXF70ItrxWCN/XXuruU8C8zka8pyZiD+xgOdtBX+vxM0cZDoiEcQlZ5GOQ==" saltValue="PZSvQUi2/Oo9UdTEsMEui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8" t="s">
        <v>910</v>
      </c>
      <c r="B1" s="2688"/>
      <c r="C1" s="2688"/>
      <c r="D1" s="2688"/>
      <c r="E1" s="2688"/>
      <c r="F1" s="2688"/>
      <c r="G1" s="2688"/>
      <c r="H1" s="2688"/>
      <c r="I1" s="2688"/>
      <c r="J1" s="2688"/>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SRO/Studio</v>
      </c>
      <c r="B4" s="1084">
        <f>Application!G718</f>
        <v>8</v>
      </c>
      <c r="C4" s="1164"/>
      <c r="D4" s="429">
        <f>Application!O718</f>
        <v>489</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13</v>
      </c>
      <c r="C5" s="1164"/>
      <c r="D5" s="429">
        <f>Application!O719</f>
        <v>761</v>
      </c>
      <c r="E5" s="430"/>
      <c r="F5" s="1085"/>
      <c r="G5" s="429">
        <f t="shared" ref="G5:G38" si="2">F5*B5</f>
        <v>0</v>
      </c>
      <c r="H5" s="430"/>
      <c r="I5" s="429" t="str">
        <f t="shared" si="0"/>
        <v/>
      </c>
      <c r="J5" s="429" t="str">
        <f t="shared" si="1"/>
        <v/>
      </c>
      <c r="K5" s="205"/>
      <c r="L5" s="306"/>
    </row>
    <row r="6" spans="1:12">
      <c r="A6" s="429" t="str">
        <f>Application!B720</f>
        <v>SRO/Studio</v>
      </c>
      <c r="B6" s="1084">
        <f>Application!G720</f>
        <v>12</v>
      </c>
      <c r="C6" s="1164"/>
      <c r="D6" s="429">
        <f>Application!O720</f>
        <v>1306</v>
      </c>
      <c r="E6" s="430"/>
      <c r="F6" s="1085"/>
      <c r="G6" s="429">
        <f t="shared" si="2"/>
        <v>0</v>
      </c>
      <c r="H6" s="430"/>
      <c r="I6" s="429" t="str">
        <f t="shared" si="0"/>
        <v/>
      </c>
      <c r="J6" s="429" t="str">
        <f t="shared" si="1"/>
        <v/>
      </c>
      <c r="K6" s="205"/>
      <c r="L6" s="306"/>
    </row>
    <row r="7" spans="1:12">
      <c r="A7" s="429" t="str">
        <f>Application!B721</f>
        <v>SRO/Studio</v>
      </c>
      <c r="B7" s="1084">
        <f>Application!G721</f>
        <v>3</v>
      </c>
      <c r="C7" s="1164"/>
      <c r="D7" s="429">
        <f>Application!O721</f>
        <v>1579</v>
      </c>
      <c r="E7" s="430"/>
      <c r="F7" s="1085"/>
      <c r="G7" s="429">
        <f t="shared" si="2"/>
        <v>0</v>
      </c>
      <c r="H7" s="430"/>
      <c r="I7" s="429" t="str">
        <f t="shared" si="0"/>
        <v/>
      </c>
      <c r="J7" s="429" t="str">
        <f t="shared" si="1"/>
        <v/>
      </c>
      <c r="K7" s="205"/>
      <c r="L7" s="306"/>
    </row>
    <row r="8" spans="1:12">
      <c r="A8" s="429" t="str">
        <f>Application!B722</f>
        <v>1 Bedroom</v>
      </c>
      <c r="B8" s="1084">
        <f>Application!G722</f>
        <v>1</v>
      </c>
      <c r="C8" s="1164"/>
      <c r="D8" s="429">
        <f>Application!O722</f>
        <v>514</v>
      </c>
      <c r="E8" s="430"/>
      <c r="F8" s="1085"/>
      <c r="G8" s="429">
        <f t="shared" si="2"/>
        <v>0</v>
      </c>
      <c r="H8" s="430"/>
      <c r="I8" s="429" t="str">
        <f t="shared" si="0"/>
        <v/>
      </c>
      <c r="J8" s="429" t="str">
        <f t="shared" si="1"/>
        <v/>
      </c>
      <c r="K8" s="205"/>
      <c r="L8" s="306"/>
    </row>
    <row r="9" spans="1:12">
      <c r="A9" s="429" t="str">
        <f>Application!B723</f>
        <v>1 Bedroom</v>
      </c>
      <c r="B9" s="1084">
        <f>Application!G723</f>
        <v>8</v>
      </c>
      <c r="C9" s="1164"/>
      <c r="D9" s="429">
        <f>Application!O723</f>
        <v>806</v>
      </c>
      <c r="E9" s="430"/>
      <c r="F9" s="1085"/>
      <c r="G9" s="429">
        <f t="shared" si="2"/>
        <v>0</v>
      </c>
      <c r="H9" s="430"/>
      <c r="I9" s="429" t="str">
        <f t="shared" si="0"/>
        <v/>
      </c>
      <c r="J9" s="429" t="str">
        <f t="shared" si="1"/>
        <v/>
      </c>
      <c r="K9" s="205"/>
      <c r="L9" s="306"/>
    </row>
    <row r="10" spans="1:12">
      <c r="A10" s="429" t="str">
        <f>Application!B724</f>
        <v>1 Bedroom</v>
      </c>
      <c r="B10" s="1084">
        <f>Application!G724</f>
        <v>23</v>
      </c>
      <c r="C10" s="1164"/>
      <c r="D10" s="429">
        <f>Application!O724</f>
        <v>1390</v>
      </c>
      <c r="E10" s="430"/>
      <c r="F10" s="1085"/>
      <c r="G10" s="429">
        <f t="shared" si="2"/>
        <v>0</v>
      </c>
      <c r="H10" s="430"/>
      <c r="I10" s="429" t="str">
        <f t="shared" si="0"/>
        <v/>
      </c>
      <c r="J10" s="429" t="str">
        <f t="shared" si="1"/>
        <v/>
      </c>
      <c r="K10" s="205"/>
      <c r="L10" s="306"/>
    </row>
    <row r="11" spans="1:12">
      <c r="A11" s="429" t="str">
        <f>Application!B725</f>
        <v>1 Bedroom</v>
      </c>
      <c r="B11" s="1084">
        <f>Application!G725</f>
        <v>11</v>
      </c>
      <c r="C11" s="1164"/>
      <c r="D11" s="429">
        <f>Application!O725</f>
        <v>1682</v>
      </c>
      <c r="E11" s="430"/>
      <c r="F11" s="1085"/>
      <c r="G11" s="429">
        <f t="shared" si="2"/>
        <v>0</v>
      </c>
      <c r="H11" s="430"/>
      <c r="I11" s="429" t="str">
        <f t="shared" si="0"/>
        <v/>
      </c>
      <c r="J11" s="429" t="str">
        <f t="shared" si="1"/>
        <v/>
      </c>
      <c r="K11" s="205"/>
      <c r="L11" s="306"/>
    </row>
    <row r="12" spans="1:12">
      <c r="A12" s="429" t="str">
        <f>Application!B726</f>
        <v>1 Bedroom</v>
      </c>
      <c r="B12" s="1084">
        <f>Application!G726</f>
        <v>1</v>
      </c>
      <c r="C12" s="1164"/>
      <c r="D12" s="429">
        <f>Application!O726</f>
        <v>2266</v>
      </c>
      <c r="E12" s="430"/>
      <c r="F12" s="1085"/>
      <c r="G12" s="429">
        <f t="shared" si="2"/>
        <v>0</v>
      </c>
      <c r="H12" s="430"/>
      <c r="I12" s="429" t="str">
        <f t="shared" si="0"/>
        <v/>
      </c>
      <c r="J12" s="429" t="str">
        <f t="shared" si="1"/>
        <v/>
      </c>
      <c r="K12" s="205"/>
      <c r="L12" s="306"/>
    </row>
    <row r="13" spans="1:12">
      <c r="A13" s="429" t="str">
        <f>Application!B727</f>
        <v>2 Bedrooms</v>
      </c>
      <c r="B13" s="1084">
        <f>Application!G727</f>
        <v>3</v>
      </c>
      <c r="C13" s="1164"/>
      <c r="D13" s="429">
        <f>Application!O727</f>
        <v>965</v>
      </c>
      <c r="E13" s="430"/>
      <c r="F13" s="1085"/>
      <c r="G13" s="429">
        <f t="shared" si="2"/>
        <v>0</v>
      </c>
      <c r="H13" s="430"/>
      <c r="I13" s="429" t="str">
        <f t="shared" si="0"/>
        <v/>
      </c>
      <c r="J13" s="429" t="str">
        <f t="shared" si="1"/>
        <v/>
      </c>
      <c r="K13" s="205"/>
      <c r="L13" s="306"/>
    </row>
    <row r="14" spans="1:12">
      <c r="A14" s="429" t="str">
        <f>Application!B728</f>
        <v>2 Bedrooms</v>
      </c>
      <c r="B14" s="1084">
        <f>Application!G728</f>
        <v>13</v>
      </c>
      <c r="C14" s="1164"/>
      <c r="D14" s="429">
        <f>Application!O728</f>
        <v>1666</v>
      </c>
      <c r="E14" s="430"/>
      <c r="F14" s="1085"/>
      <c r="G14" s="429">
        <f t="shared" si="2"/>
        <v>0</v>
      </c>
      <c r="H14" s="430"/>
      <c r="I14" s="429" t="str">
        <f t="shared" si="0"/>
        <v/>
      </c>
      <c r="J14" s="429" t="str">
        <f t="shared" si="1"/>
        <v/>
      </c>
      <c r="K14" s="205"/>
      <c r="L14" s="306"/>
    </row>
    <row r="15" spans="1:12">
      <c r="A15" s="429" t="str">
        <f>Application!B729</f>
        <v>2 Bedrooms</v>
      </c>
      <c r="B15" s="1084">
        <f>Application!G729</f>
        <v>9</v>
      </c>
      <c r="C15" s="1164"/>
      <c r="D15" s="429">
        <f>Application!O729</f>
        <v>2017</v>
      </c>
      <c r="E15" s="430"/>
      <c r="F15" s="1085"/>
      <c r="G15" s="429">
        <f t="shared" si="2"/>
        <v>0</v>
      </c>
      <c r="H15" s="430"/>
      <c r="I15" s="429" t="str">
        <f t="shared" si="0"/>
        <v/>
      </c>
      <c r="J15" s="429" t="str">
        <f t="shared" si="1"/>
        <v/>
      </c>
      <c r="K15" s="205"/>
      <c r="L15" s="306"/>
    </row>
    <row r="16" spans="1:12">
      <c r="A16" s="429" t="str">
        <f>Application!B730</f>
        <v>2 Bedrooms</v>
      </c>
      <c r="B16" s="1084">
        <f>Application!G730</f>
        <v>2</v>
      </c>
      <c r="C16" s="1164"/>
      <c r="D16" s="429">
        <f>Application!O730</f>
        <v>2718</v>
      </c>
      <c r="E16" s="430"/>
      <c r="F16" s="1085"/>
      <c r="G16" s="429">
        <f t="shared" si="2"/>
        <v>0</v>
      </c>
      <c r="H16" s="430"/>
      <c r="I16" s="429" t="str">
        <f t="shared" si="0"/>
        <v/>
      </c>
      <c r="J16" s="429" t="str">
        <f t="shared" si="1"/>
        <v/>
      </c>
      <c r="K16" s="205"/>
      <c r="L16" s="306"/>
    </row>
    <row r="17" spans="1:12">
      <c r="A17" s="429" t="str">
        <f>Application!B731</f>
        <v>3 Bedrooms</v>
      </c>
      <c r="B17" s="1084">
        <f>Application!G731</f>
        <v>2</v>
      </c>
      <c r="C17" s="1164"/>
      <c r="D17" s="429">
        <f>Application!O731</f>
        <v>1110</v>
      </c>
      <c r="E17" s="430"/>
      <c r="F17" s="1085"/>
      <c r="G17" s="429">
        <f t="shared" si="2"/>
        <v>0</v>
      </c>
      <c r="H17" s="430"/>
      <c r="I17" s="429" t="str">
        <f t="shared" si="0"/>
        <v/>
      </c>
      <c r="J17" s="429" t="str">
        <f t="shared" si="1"/>
        <v/>
      </c>
      <c r="K17" s="205"/>
      <c r="L17" s="306"/>
    </row>
    <row r="18" spans="1:12">
      <c r="A18" s="429" t="str">
        <f>Application!B732</f>
        <v>3 Bedrooms</v>
      </c>
      <c r="B18" s="1084">
        <f>Application!G732</f>
        <v>11</v>
      </c>
      <c r="C18" s="1164"/>
      <c r="D18" s="429">
        <f>Application!O732</f>
        <v>1920</v>
      </c>
      <c r="E18" s="430"/>
      <c r="F18" s="1085"/>
      <c r="G18" s="429">
        <f t="shared" si="2"/>
        <v>0</v>
      </c>
      <c r="H18" s="430"/>
      <c r="I18" s="429" t="str">
        <f t="shared" si="0"/>
        <v/>
      </c>
      <c r="J18" s="429" t="str">
        <f t="shared" si="1"/>
        <v/>
      </c>
      <c r="K18" s="205"/>
      <c r="L18" s="306"/>
    </row>
    <row r="19" spans="1:12">
      <c r="A19" s="429" t="str">
        <f>Application!B733</f>
        <v>3 Bedrooms</v>
      </c>
      <c r="B19" s="1084">
        <f>Application!G733</f>
        <v>4</v>
      </c>
      <c r="C19" s="1164"/>
      <c r="D19" s="429">
        <f>Application!O733</f>
        <v>2325</v>
      </c>
      <c r="E19" s="430"/>
      <c r="F19" s="1085"/>
      <c r="G19" s="429">
        <f t="shared" si="2"/>
        <v>0</v>
      </c>
      <c r="H19" s="430"/>
      <c r="I19" s="429" t="str">
        <f t="shared" si="0"/>
        <v/>
      </c>
      <c r="J19" s="429" t="str">
        <f t="shared" si="1"/>
        <v/>
      </c>
      <c r="K19" s="205"/>
      <c r="L19" s="306"/>
    </row>
    <row r="20" spans="1:12">
      <c r="A20" s="429" t="str">
        <f>Application!B734</f>
        <v>3 Bedrooms</v>
      </c>
      <c r="B20" s="1084">
        <f>Application!G734</f>
        <v>3</v>
      </c>
      <c r="C20" s="1164"/>
      <c r="D20" s="429">
        <f>Application!O734</f>
        <v>3135</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184101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89" t="s">
        <v>2500</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2262</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1"/>
  <sheetViews>
    <sheetView zoomScaleNormal="100" workbookViewId="0">
      <selection activeCell="E72" sqref="E7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2209212</v>
      </c>
      <c r="G4" s="220">
        <f>E4*$C$4</f>
        <v>2264442.2999999998</v>
      </c>
      <c r="I4" s="220">
        <f>G4*$C$4</f>
        <v>2321053.3574999995</v>
      </c>
      <c r="K4" s="220">
        <f>I4*$C$4</f>
        <v>2379079.6914374991</v>
      </c>
      <c r="M4" s="220">
        <f>K4*$C$4</f>
        <v>2438556.6837234362</v>
      </c>
      <c r="O4" s="220">
        <f>M4*$C$4</f>
        <v>2499520.6008165218</v>
      </c>
      <c r="Q4" s="220">
        <f>O4*$C$4</f>
        <v>2562008.6158369347</v>
      </c>
      <c r="S4" s="220">
        <f>Q4*$C$4</f>
        <v>2626058.8312328579</v>
      </c>
      <c r="U4" s="220">
        <f>S4*$C$4</f>
        <v>2691710.3020136789</v>
      </c>
      <c r="W4" s="220">
        <f>U4*$C$4</f>
        <v>2759003.0595640205</v>
      </c>
      <c r="Y4" s="220">
        <f>W4*$C$4</f>
        <v>2827978.1360531207</v>
      </c>
      <c r="AA4" s="220">
        <f>Y4*$C$4</f>
        <v>2898677.5894544483</v>
      </c>
      <c r="AC4" s="220">
        <f>AA4*$C$4</f>
        <v>2971144.5291908095</v>
      </c>
      <c r="AE4" s="220">
        <f>AC4*$C$4</f>
        <v>3045423.1424205792</v>
      </c>
      <c r="AG4" s="220">
        <f>AE4*$C$4</f>
        <v>3121558.7209810936</v>
      </c>
    </row>
    <row r="5" spans="1:34" s="211" customFormat="1" ht="14">
      <c r="B5" s="211" t="s">
        <v>839</v>
      </c>
      <c r="C5" s="239">
        <f>IF(Application!$D$211="Special Needs",(((0.1*Application!$T$212)+(0.05*(1-Application!$T$212)))),0.05)</f>
        <v>0.05</v>
      </c>
      <c r="E5" s="222">
        <f>-E4*$C$5</f>
        <v>-110460.6</v>
      </c>
      <c r="F5" s="222"/>
      <c r="G5" s="222">
        <f>-G4*$C$5</f>
        <v>-113222.11499999999</v>
      </c>
      <c r="H5" s="222"/>
      <c r="I5" s="222">
        <f>-I4*$C$5</f>
        <v>-116052.66787499998</v>
      </c>
      <c r="J5" s="222"/>
      <c r="K5" s="222">
        <f>-K4*$C$5</f>
        <v>-118953.98457187496</v>
      </c>
      <c r="L5" s="222"/>
      <c r="M5" s="222">
        <f>-M4*$C$5</f>
        <v>-121927.83418617182</v>
      </c>
      <c r="N5" s="222"/>
      <c r="O5" s="222">
        <f>-O4*$C$5</f>
        <v>-124976.0300408261</v>
      </c>
      <c r="P5" s="222"/>
      <c r="Q5" s="222">
        <f>-Q4*$C$5</f>
        <v>-128100.43079184674</v>
      </c>
      <c r="R5" s="222"/>
      <c r="S5" s="222">
        <f>-S4*$C$5</f>
        <v>-131302.94156164289</v>
      </c>
      <c r="T5" s="222"/>
      <c r="U5" s="222">
        <f>-U4*$C$5</f>
        <v>-134585.51510068396</v>
      </c>
      <c r="V5" s="222"/>
      <c r="W5" s="222">
        <f>-W4*$C$5</f>
        <v>-137950.15297820102</v>
      </c>
      <c r="X5" s="222"/>
      <c r="Y5" s="222">
        <f>-Y4*$C$5</f>
        <v>-141398.90680265604</v>
      </c>
      <c r="Z5" s="222"/>
      <c r="AA5" s="222">
        <f>-AA4*$C$5</f>
        <v>-144933.87947272242</v>
      </c>
      <c r="AB5" s="222"/>
      <c r="AC5" s="222">
        <f>-AC4*$C$5</f>
        <v>-148557.22645954048</v>
      </c>
      <c r="AD5" s="222"/>
      <c r="AE5" s="222">
        <f>-AE4*$C$5</f>
        <v>-152271.15712102895</v>
      </c>
      <c r="AF5" s="222"/>
      <c r="AG5" s="222">
        <f>-AG4*$C$5</f>
        <v>-156077.9360490547</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9049</v>
      </c>
      <c r="F8" s="223"/>
      <c r="G8" s="223">
        <f>E8*$C$8</f>
        <v>9275.2249999999985</v>
      </c>
      <c r="H8" s="223"/>
      <c r="I8" s="223">
        <f>G8*$C$8</f>
        <v>9507.1056249999983</v>
      </c>
      <c r="J8" s="223"/>
      <c r="K8" s="223">
        <f>I8*$C$8</f>
        <v>9744.7832656249975</v>
      </c>
      <c r="L8" s="223"/>
      <c r="M8" s="223">
        <f>K8*$C$8</f>
        <v>9988.4028472656209</v>
      </c>
      <c r="N8" s="223"/>
      <c r="O8" s="223">
        <f>M8*$C$8</f>
        <v>10238.112918447261</v>
      </c>
      <c r="P8" s="223"/>
      <c r="Q8" s="223">
        <f>O8*$C$8</f>
        <v>10494.065741408442</v>
      </c>
      <c r="R8" s="223"/>
      <c r="S8" s="223">
        <f>Q8*$C$8</f>
        <v>10756.417384943652</v>
      </c>
      <c r="T8" s="223"/>
      <c r="U8" s="223">
        <f>S8*$C$8</f>
        <v>11025.327819567243</v>
      </c>
      <c r="V8" s="223"/>
      <c r="W8" s="223">
        <f>U8*$C$8</f>
        <v>11300.961015056422</v>
      </c>
      <c r="X8" s="223"/>
      <c r="Y8" s="223">
        <f>W8*$C$8</f>
        <v>11583.485040432832</v>
      </c>
      <c r="Z8" s="223"/>
      <c r="AA8" s="223">
        <f>Y8*$C$8</f>
        <v>11873.072166443651</v>
      </c>
      <c r="AB8" s="223"/>
      <c r="AC8" s="223">
        <f>AA8*$C$8</f>
        <v>12169.898970604741</v>
      </c>
      <c r="AD8" s="223"/>
      <c r="AE8" s="223">
        <f>AC8*$C$8</f>
        <v>12474.146444869859</v>
      </c>
      <c r="AF8" s="223"/>
      <c r="AG8" s="223">
        <f>AE8*$C$8</f>
        <v>12786.000105991605</v>
      </c>
    </row>
    <row r="9" spans="1:34" s="211" customFormat="1" ht="14">
      <c r="B9" s="211" t="s">
        <v>839</v>
      </c>
      <c r="C9" s="239">
        <f>IF(Application!$D$211="Special Needs",(((0.1*Application!$T$212)+(0.05*(1-Application!$T$212)))),0.05)</f>
        <v>0.05</v>
      </c>
      <c r="E9" s="222">
        <f>-E8*$C$9</f>
        <v>-452.45000000000005</v>
      </c>
      <c r="F9" s="222"/>
      <c r="G9" s="222">
        <f>-G8*$C$9</f>
        <v>-463.76124999999996</v>
      </c>
      <c r="H9" s="222"/>
      <c r="I9" s="222">
        <f>-I8*$C$9</f>
        <v>-475.35528124999996</v>
      </c>
      <c r="J9" s="222"/>
      <c r="K9" s="222">
        <f>-K8*$C$9</f>
        <v>-487.23916328124989</v>
      </c>
      <c r="L9" s="222"/>
      <c r="M9" s="222">
        <f>-M8*$C$9</f>
        <v>-499.42014236328106</v>
      </c>
      <c r="N9" s="222"/>
      <c r="O9" s="222">
        <f>-O8*$C$9</f>
        <v>-511.90564592236308</v>
      </c>
      <c r="P9" s="222"/>
      <c r="Q9" s="222">
        <f>-Q8*$C$9</f>
        <v>-524.70328707042211</v>
      </c>
      <c r="R9" s="222"/>
      <c r="S9" s="222">
        <f>-S8*$C$9</f>
        <v>-537.8208692471826</v>
      </c>
      <c r="T9" s="222"/>
      <c r="U9" s="222">
        <f>-U8*$C$9</f>
        <v>-551.26639097836221</v>
      </c>
      <c r="V9" s="222"/>
      <c r="W9" s="222">
        <f>-W8*$C$9</f>
        <v>-565.04805075282115</v>
      </c>
      <c r="X9" s="222"/>
      <c r="Y9" s="222">
        <f>-Y8*$C$9</f>
        <v>-579.17425202164156</v>
      </c>
      <c r="Z9" s="222"/>
      <c r="AA9" s="222">
        <f>-AA8*$C$9</f>
        <v>-593.65360832218255</v>
      </c>
      <c r="AB9" s="222"/>
      <c r="AC9" s="222">
        <f>-AC8*$C$9</f>
        <v>-608.49494853023714</v>
      </c>
      <c r="AD9" s="222"/>
      <c r="AE9" s="222">
        <f>-AE8*$C$9</f>
        <v>-623.70732224349297</v>
      </c>
      <c r="AF9" s="222"/>
      <c r="AG9" s="222">
        <f>-AG8*$C$9</f>
        <v>-639.30000529958033</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2107347.9499999997</v>
      </c>
      <c r="G11" s="224">
        <f>SUM(G4:G10)</f>
        <v>2160031.6487499997</v>
      </c>
      <c r="I11" s="224">
        <f>SUM(I4:I10)</f>
        <v>2214032.4399687494</v>
      </c>
      <c r="K11" s="224">
        <f>SUM(K4:K10)</f>
        <v>2269383.2509679678</v>
      </c>
      <c r="M11" s="224">
        <f>SUM(M4:M10)</f>
        <v>2326117.8322421671</v>
      </c>
      <c r="O11" s="224">
        <f>SUM(O4:O10)</f>
        <v>2384270.7780482206</v>
      </c>
      <c r="Q11" s="224">
        <f>SUM(Q4:Q10)</f>
        <v>2443877.5474994257</v>
      </c>
      <c r="S11" s="224">
        <f>SUM(S4:S10)</f>
        <v>2504974.4861869114</v>
      </c>
      <c r="U11" s="224">
        <f>SUM(U4:U10)</f>
        <v>2567598.8483415837</v>
      </c>
      <c r="W11" s="224">
        <f>SUM(W4:W10)</f>
        <v>2631788.8195501231</v>
      </c>
      <c r="Y11" s="224">
        <f>SUM(Y4:Y10)</f>
        <v>2697583.5400388758</v>
      </c>
      <c r="AA11" s="224">
        <f>SUM(AA4:AA10)</f>
        <v>2765023.1285398477</v>
      </c>
      <c r="AC11" s="224">
        <f>SUM(AC4:AC10)</f>
        <v>2834148.7067533438</v>
      </c>
      <c r="AE11" s="224">
        <f>SUM(AE4:AE10)</f>
        <v>2905002.4244221766</v>
      </c>
      <c r="AG11" s="224">
        <f>SUM(AG4:AG10)</f>
        <v>2977627.4850327307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196118</v>
      </c>
      <c r="G15" s="220">
        <f>E15*$C$14</f>
        <v>202982.12999999998</v>
      </c>
      <c r="I15" s="220">
        <f>G15*$C$14</f>
        <v>210086.50454999995</v>
      </c>
      <c r="K15" s="220">
        <f>I15*$C$14</f>
        <v>217439.53220924994</v>
      </c>
      <c r="M15" s="220">
        <f>K15*$C$14</f>
        <v>225049.91583657367</v>
      </c>
      <c r="O15" s="220">
        <f>M15*$C$14</f>
        <v>232926.66289085374</v>
      </c>
      <c r="Q15" s="220">
        <f>O15*$C$14</f>
        <v>241079.09609203361</v>
      </c>
      <c r="S15" s="220">
        <f>Q15*$C$14</f>
        <v>249516.86445525478</v>
      </c>
      <c r="U15" s="220">
        <f>S15*$C$14</f>
        <v>258249.95471118868</v>
      </c>
      <c r="W15" s="220">
        <f>U15*$C$14</f>
        <v>267288.70312608028</v>
      </c>
      <c r="Y15" s="220">
        <f>W15*$C$14</f>
        <v>276643.80773549306</v>
      </c>
      <c r="AA15" s="220">
        <f>Y15*$C$14</f>
        <v>286326.34100623528</v>
      </c>
      <c r="AC15" s="220">
        <f>AA15*$C$14</f>
        <v>296347.76294145349</v>
      </c>
      <c r="AE15" s="220">
        <f>AC15*$C$14</f>
        <v>306719.93464440433</v>
      </c>
      <c r="AG15" s="220">
        <f>AE15*$C$14</f>
        <v>317455.13235695846</v>
      </c>
    </row>
    <row r="16" spans="1:34" s="211" customFormat="1" ht="14">
      <c r="A16" s="211" t="s">
        <v>344</v>
      </c>
      <c r="C16" s="234"/>
      <c r="E16" s="223">
        <f>Application!W849</f>
        <v>115200</v>
      </c>
      <c r="F16" s="223"/>
      <c r="G16" s="223">
        <f t="shared" ref="G16:AG21" si="0">E16*$C$14</f>
        <v>119231.99999999999</v>
      </c>
      <c r="H16" s="223"/>
      <c r="I16" s="223">
        <f t="shared" si="0"/>
        <v>123405.11999999998</v>
      </c>
      <c r="J16" s="223"/>
      <c r="K16" s="223">
        <f t="shared" si="0"/>
        <v>127724.29919999996</v>
      </c>
      <c r="L16" s="223"/>
      <c r="M16" s="223">
        <f t="shared" si="0"/>
        <v>132194.64967199994</v>
      </c>
      <c r="N16" s="223"/>
      <c r="O16" s="223">
        <f t="shared" si="0"/>
        <v>136821.46241051992</v>
      </c>
      <c r="P16" s="223"/>
      <c r="Q16" s="223">
        <f t="shared" si="0"/>
        <v>141610.2135948881</v>
      </c>
      <c r="R16" s="223"/>
      <c r="S16" s="223">
        <f t="shared" si="0"/>
        <v>146566.57107070918</v>
      </c>
      <c r="T16" s="223"/>
      <c r="U16" s="223">
        <f t="shared" si="0"/>
        <v>151696.40105818398</v>
      </c>
      <c r="V16" s="223"/>
      <c r="W16" s="223">
        <f t="shared" si="0"/>
        <v>157005.77509522042</v>
      </c>
      <c r="X16" s="223"/>
      <c r="Y16" s="223">
        <f t="shared" si="0"/>
        <v>162500.97722355311</v>
      </c>
      <c r="Z16" s="223"/>
      <c r="AA16" s="223">
        <f t="shared" si="0"/>
        <v>168188.51142637746</v>
      </c>
      <c r="AB16" s="223"/>
      <c r="AC16" s="223">
        <f t="shared" si="0"/>
        <v>174075.10932630065</v>
      </c>
      <c r="AD16" s="223"/>
      <c r="AE16" s="223">
        <f t="shared" si="0"/>
        <v>180167.73815272117</v>
      </c>
      <c r="AF16" s="223"/>
      <c r="AG16" s="223">
        <f t="shared" si="0"/>
        <v>186473.60898806641</v>
      </c>
    </row>
    <row r="17" spans="1:33" s="211" customFormat="1" ht="14">
      <c r="A17" s="211" t="s">
        <v>562</v>
      </c>
      <c r="C17" s="234"/>
      <c r="E17" s="223">
        <f>Application!W855</f>
        <v>244143</v>
      </c>
      <c r="F17" s="223"/>
      <c r="G17" s="223">
        <f t="shared" si="0"/>
        <v>252688.00499999998</v>
      </c>
      <c r="H17" s="223"/>
      <c r="I17" s="223">
        <f t="shared" si="0"/>
        <v>261532.08517499996</v>
      </c>
      <c r="J17" s="223"/>
      <c r="K17" s="223">
        <f t="shared" si="0"/>
        <v>270685.70815612492</v>
      </c>
      <c r="L17" s="223"/>
      <c r="M17" s="223">
        <f t="shared" si="0"/>
        <v>280159.70794158929</v>
      </c>
      <c r="N17" s="223"/>
      <c r="O17" s="223">
        <f t="shared" si="0"/>
        <v>289965.29771954491</v>
      </c>
      <c r="P17" s="223"/>
      <c r="Q17" s="223">
        <f t="shared" si="0"/>
        <v>300114.08313972893</v>
      </c>
      <c r="R17" s="223"/>
      <c r="S17" s="223">
        <f t="shared" si="0"/>
        <v>310618.07604961941</v>
      </c>
      <c r="T17" s="223"/>
      <c r="U17" s="223">
        <f t="shared" si="0"/>
        <v>321489.70871135604</v>
      </c>
      <c r="V17" s="223"/>
      <c r="W17" s="223">
        <f t="shared" si="0"/>
        <v>332741.84851625346</v>
      </c>
      <c r="X17" s="223"/>
      <c r="Y17" s="223">
        <f t="shared" si="0"/>
        <v>344387.81321432232</v>
      </c>
      <c r="Z17" s="223"/>
      <c r="AA17" s="223">
        <f t="shared" si="0"/>
        <v>356441.38667682355</v>
      </c>
      <c r="AB17" s="223"/>
      <c r="AC17" s="223">
        <f t="shared" si="0"/>
        <v>368916.83521051233</v>
      </c>
      <c r="AD17" s="223"/>
      <c r="AE17" s="223">
        <f t="shared" si="0"/>
        <v>381828.92444288026</v>
      </c>
      <c r="AF17" s="223"/>
      <c r="AG17" s="223">
        <f t="shared" si="0"/>
        <v>395192.93679838104</v>
      </c>
    </row>
    <row r="18" spans="1:33" s="211" customFormat="1" ht="14">
      <c r="A18" s="211" t="s">
        <v>843</v>
      </c>
      <c r="C18" s="234"/>
      <c r="E18" s="223">
        <f>Application!W862</f>
        <v>384888</v>
      </c>
      <c r="F18" s="223"/>
      <c r="G18" s="223">
        <f t="shared" si="0"/>
        <v>398359.07999999996</v>
      </c>
      <c r="H18" s="223"/>
      <c r="I18" s="223">
        <f t="shared" si="0"/>
        <v>412301.64779999992</v>
      </c>
      <c r="J18" s="223"/>
      <c r="K18" s="223">
        <f t="shared" si="0"/>
        <v>426732.20547299989</v>
      </c>
      <c r="L18" s="223"/>
      <c r="M18" s="223">
        <f t="shared" si="0"/>
        <v>441667.83266455488</v>
      </c>
      <c r="N18" s="223"/>
      <c r="O18" s="223">
        <f t="shared" si="0"/>
        <v>457126.20680781425</v>
      </c>
      <c r="P18" s="223"/>
      <c r="Q18" s="223">
        <f t="shared" si="0"/>
        <v>473125.62404608773</v>
      </c>
      <c r="R18" s="223"/>
      <c r="S18" s="223">
        <f t="shared" si="0"/>
        <v>489685.02088770078</v>
      </c>
      <c r="T18" s="223"/>
      <c r="U18" s="223">
        <f t="shared" si="0"/>
        <v>506823.9966187703</v>
      </c>
      <c r="V18" s="223"/>
      <c r="W18" s="223">
        <f t="shared" si="0"/>
        <v>524562.83650042722</v>
      </c>
      <c r="X18" s="223"/>
      <c r="Y18" s="223">
        <f t="shared" si="0"/>
        <v>542922.53577794216</v>
      </c>
      <c r="Z18" s="223"/>
      <c r="AA18" s="223">
        <f t="shared" si="0"/>
        <v>561924.82453017007</v>
      </c>
      <c r="AB18" s="223"/>
      <c r="AC18" s="223">
        <f t="shared" si="0"/>
        <v>581592.19338872598</v>
      </c>
      <c r="AD18" s="223"/>
      <c r="AE18" s="223">
        <f t="shared" si="0"/>
        <v>601947.92015733139</v>
      </c>
      <c r="AF18" s="223"/>
      <c r="AG18" s="223">
        <f t="shared" si="0"/>
        <v>623016.09736283799</v>
      </c>
    </row>
    <row r="19" spans="1:33" s="211" customFormat="1" ht="14">
      <c r="A19" s="211" t="s">
        <v>155</v>
      </c>
      <c r="C19" s="234"/>
      <c r="E19" s="223">
        <f>Application!W863</f>
        <v>169500</v>
      </c>
      <c r="F19" s="223"/>
      <c r="G19" s="223">
        <f t="shared" si="0"/>
        <v>175432.5</v>
      </c>
      <c r="H19" s="223"/>
      <c r="I19" s="223">
        <f t="shared" si="0"/>
        <v>181572.63749999998</v>
      </c>
      <c r="J19" s="223"/>
      <c r="K19" s="223">
        <f t="shared" si="0"/>
        <v>187927.67981249996</v>
      </c>
      <c r="L19" s="223"/>
      <c r="M19" s="223">
        <f t="shared" si="0"/>
        <v>194505.14860593746</v>
      </c>
      <c r="N19" s="223"/>
      <c r="O19" s="223">
        <f t="shared" si="0"/>
        <v>201312.82880714524</v>
      </c>
      <c r="P19" s="223"/>
      <c r="Q19" s="223">
        <f t="shared" si="0"/>
        <v>208358.7778153953</v>
      </c>
      <c r="R19" s="223"/>
      <c r="S19" s="223">
        <f t="shared" si="0"/>
        <v>215651.33503893411</v>
      </c>
      <c r="T19" s="223"/>
      <c r="U19" s="223">
        <f t="shared" si="0"/>
        <v>223199.13176529677</v>
      </c>
      <c r="V19" s="223"/>
      <c r="W19" s="223">
        <f t="shared" si="0"/>
        <v>231011.10137708214</v>
      </c>
      <c r="X19" s="223"/>
      <c r="Y19" s="223">
        <f t="shared" si="0"/>
        <v>239096.48992528001</v>
      </c>
      <c r="Z19" s="223"/>
      <c r="AA19" s="223">
        <f t="shared" si="0"/>
        <v>247464.86707266478</v>
      </c>
      <c r="AB19" s="223"/>
      <c r="AC19" s="223">
        <f t="shared" si="0"/>
        <v>256126.13742020802</v>
      </c>
      <c r="AD19" s="223"/>
      <c r="AE19" s="223">
        <f t="shared" si="0"/>
        <v>265090.55222991528</v>
      </c>
      <c r="AF19" s="223"/>
      <c r="AG19" s="223">
        <f t="shared" si="0"/>
        <v>274368.7215579623</v>
      </c>
    </row>
    <row r="20" spans="1:33" s="211" customFormat="1" ht="14">
      <c r="A20" s="211" t="s">
        <v>390</v>
      </c>
      <c r="C20" s="234"/>
      <c r="E20" s="223">
        <f>Application!W872</f>
        <v>266640</v>
      </c>
      <c r="F20" s="223"/>
      <c r="G20" s="223">
        <f t="shared" si="0"/>
        <v>275972.39999999997</v>
      </c>
      <c r="H20" s="223"/>
      <c r="I20" s="223">
        <f t="shared" si="0"/>
        <v>285631.43399999995</v>
      </c>
      <c r="J20" s="223"/>
      <c r="K20" s="223">
        <f t="shared" si="0"/>
        <v>295628.53418999992</v>
      </c>
      <c r="L20" s="223"/>
      <c r="M20" s="223">
        <f t="shared" si="0"/>
        <v>305975.53288664989</v>
      </c>
      <c r="N20" s="223"/>
      <c r="O20" s="223">
        <f t="shared" si="0"/>
        <v>316684.67653768259</v>
      </c>
      <c r="P20" s="223"/>
      <c r="Q20" s="223">
        <f t="shared" si="0"/>
        <v>327768.64021650143</v>
      </c>
      <c r="R20" s="223"/>
      <c r="S20" s="223">
        <f t="shared" si="0"/>
        <v>339240.54262407898</v>
      </c>
      <c r="T20" s="223"/>
      <c r="U20" s="223">
        <f t="shared" si="0"/>
        <v>351113.9616159217</v>
      </c>
      <c r="V20" s="223"/>
      <c r="W20" s="223">
        <f t="shared" si="0"/>
        <v>363402.95027247892</v>
      </c>
      <c r="X20" s="223"/>
      <c r="Y20" s="223">
        <f t="shared" si="0"/>
        <v>376122.05353201565</v>
      </c>
      <c r="Z20" s="223"/>
      <c r="AA20" s="223">
        <f t="shared" si="0"/>
        <v>389286.32540563616</v>
      </c>
      <c r="AB20" s="223"/>
      <c r="AC20" s="223">
        <f t="shared" si="0"/>
        <v>402911.34679483337</v>
      </c>
      <c r="AD20" s="223"/>
      <c r="AE20" s="223">
        <f t="shared" si="0"/>
        <v>417013.24393265252</v>
      </c>
      <c r="AF20" s="223"/>
      <c r="AG20" s="223">
        <f t="shared" si="0"/>
        <v>431608.70747029531</v>
      </c>
    </row>
    <row r="21" spans="1:33" s="211" customFormat="1" ht="14">
      <c r="A21" s="227" t="s">
        <v>963</v>
      </c>
      <c r="B21" s="227"/>
      <c r="C21" s="234"/>
      <c r="E21" s="233">
        <f>Application!W879</f>
        <v>23450</v>
      </c>
      <c r="F21" s="223"/>
      <c r="G21" s="233">
        <f t="shared" si="0"/>
        <v>24270.749999999996</v>
      </c>
      <c r="H21" s="223"/>
      <c r="I21" s="233">
        <f t="shared" si="0"/>
        <v>25120.226249999996</v>
      </c>
      <c r="J21" s="223"/>
      <c r="K21" s="233">
        <f t="shared" si="0"/>
        <v>25999.434168749995</v>
      </c>
      <c r="L21" s="223"/>
      <c r="M21" s="233">
        <f t="shared" si="0"/>
        <v>26909.414364656241</v>
      </c>
      <c r="N21" s="223"/>
      <c r="O21" s="233">
        <f t="shared" si="0"/>
        <v>27851.243867419205</v>
      </c>
      <c r="P21" s="223"/>
      <c r="Q21" s="233">
        <f t="shared" si="0"/>
        <v>28826.037402778875</v>
      </c>
      <c r="R21" s="223"/>
      <c r="S21" s="233">
        <f t="shared" si="0"/>
        <v>29834.948711876132</v>
      </c>
      <c r="T21" s="223"/>
      <c r="U21" s="233">
        <f t="shared" si="0"/>
        <v>30879.171916791795</v>
      </c>
      <c r="V21" s="223"/>
      <c r="W21" s="233">
        <f t="shared" si="0"/>
        <v>31959.942933879505</v>
      </c>
      <c r="X21" s="223"/>
      <c r="Y21" s="233">
        <f t="shared" si="0"/>
        <v>33078.540936565289</v>
      </c>
      <c r="Z21" s="223"/>
      <c r="AA21" s="233">
        <f t="shared" si="0"/>
        <v>34236.28986934507</v>
      </c>
      <c r="AB21" s="223"/>
      <c r="AC21" s="233">
        <f t="shared" si="0"/>
        <v>35434.560014772142</v>
      </c>
      <c r="AD21" s="223"/>
      <c r="AE21" s="233">
        <f t="shared" si="0"/>
        <v>36674.769615289166</v>
      </c>
      <c r="AF21" s="223"/>
      <c r="AG21" s="233">
        <f t="shared" si="0"/>
        <v>37958.386551824282</v>
      </c>
    </row>
    <row r="22" spans="1:33" s="224" customFormat="1" ht="14">
      <c r="A22" s="224" t="s">
        <v>844</v>
      </c>
      <c r="C22" s="234"/>
      <c r="E22" s="224">
        <f>SUM(E15:E21)</f>
        <v>1399939</v>
      </c>
      <c r="G22" s="224">
        <f>SUM(G15:G21)</f>
        <v>1448936.8649999998</v>
      </c>
      <c r="I22" s="224">
        <f>SUM(I15:I21)</f>
        <v>1499649.6552749998</v>
      </c>
      <c r="K22" s="224">
        <f>SUM(K15:K21)</f>
        <v>1552137.3932096246</v>
      </c>
      <c r="M22" s="224">
        <f>SUM(M15:M21)</f>
        <v>1606462.2019719614</v>
      </c>
      <c r="O22" s="224">
        <f>SUM(O15:O21)</f>
        <v>1662688.37904098</v>
      </c>
      <c r="Q22" s="224">
        <f>SUM(Q15:Q21)</f>
        <v>1720882.472307414</v>
      </c>
      <c r="S22" s="224">
        <f>SUM(S15:S21)</f>
        <v>1781113.3588381733</v>
      </c>
      <c r="U22" s="224">
        <f>SUM(U15:U21)</f>
        <v>1843452.3263975091</v>
      </c>
      <c r="W22" s="224">
        <f>SUM(W15:W21)</f>
        <v>1907973.157821422</v>
      </c>
      <c r="Y22" s="224">
        <f>SUM(Y15:Y21)</f>
        <v>1974752.2183451715</v>
      </c>
      <c r="AA22" s="224">
        <f>SUM(AA15:AA21)</f>
        <v>2043868.5459872521</v>
      </c>
      <c r="AC22" s="224">
        <f>SUM(AC15:AC21)</f>
        <v>2115403.9450968057</v>
      </c>
      <c r="AE22" s="224">
        <f>SUM(AE15:AE21)</f>
        <v>2189443.083175194</v>
      </c>
      <c r="AG22" s="224">
        <f>SUM(AG15:AG21)</f>
        <v>2266073.5910863262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65000</v>
      </c>
      <c r="F27" s="223"/>
      <c r="G27" s="223">
        <f>E27*$C$27</f>
        <v>67275</v>
      </c>
      <c r="H27" s="223"/>
      <c r="I27" s="223">
        <f>G27*$C$27</f>
        <v>69629.625</v>
      </c>
      <c r="J27" s="223"/>
      <c r="K27" s="223">
        <f>I27*$C$27</f>
        <v>72066.661874999991</v>
      </c>
      <c r="L27" s="223"/>
      <c r="M27" s="223">
        <f>K27*$C$27</f>
        <v>74588.995040624985</v>
      </c>
      <c r="N27" s="223"/>
      <c r="O27" s="223">
        <f>M27*$C$27</f>
        <v>77199.609867046849</v>
      </c>
      <c r="P27" s="223"/>
      <c r="Q27" s="223">
        <f>O27*$C$27</f>
        <v>79901.596212393488</v>
      </c>
      <c r="R27" s="223"/>
      <c r="S27" s="223">
        <f>Q27*$C$27</f>
        <v>82698.152079827254</v>
      </c>
      <c r="T27" s="223"/>
      <c r="U27" s="223">
        <f>S27*$C$27</f>
        <v>85592.587402621197</v>
      </c>
      <c r="V27" s="223"/>
      <c r="W27" s="223">
        <f>U27*$C$27</f>
        <v>88588.32796171293</v>
      </c>
      <c r="X27" s="223"/>
      <c r="Y27" s="223">
        <f>W27*$C$27</f>
        <v>91688.919440372876</v>
      </c>
      <c r="Z27" s="223"/>
      <c r="AA27" s="223">
        <f>Y27*$C$27</f>
        <v>94898.031620785914</v>
      </c>
      <c r="AB27" s="223"/>
      <c r="AC27" s="223">
        <f>AA27*$C$27</f>
        <v>98219.462727513412</v>
      </c>
      <c r="AD27" s="223"/>
      <c r="AE27" s="223">
        <f>AC27*$C$27</f>
        <v>101657.14392297638</v>
      </c>
      <c r="AF27" s="223"/>
      <c r="AG27" s="223">
        <f>AE27*$C$27</f>
        <v>105215.14396028055</v>
      </c>
    </row>
    <row r="28" spans="1:33" s="211" customFormat="1" ht="14">
      <c r="A28" s="211" t="s">
        <v>847</v>
      </c>
      <c r="C28" s="238"/>
      <c r="E28" s="223">
        <f>Application!AC889</f>
        <v>64000</v>
      </c>
      <c r="F28" s="223"/>
      <c r="G28" s="223">
        <f>$E$28</f>
        <v>64000</v>
      </c>
      <c r="H28" s="223"/>
      <c r="I28" s="223">
        <f>$E$28</f>
        <v>64000</v>
      </c>
      <c r="J28" s="223"/>
      <c r="K28" s="223">
        <f>$E$28</f>
        <v>64000</v>
      </c>
      <c r="L28" s="223"/>
      <c r="M28" s="223">
        <f>$E$28</f>
        <v>64000</v>
      </c>
      <c r="N28" s="223"/>
      <c r="O28" s="223">
        <f>$E$28</f>
        <v>64000</v>
      </c>
      <c r="P28" s="223"/>
      <c r="Q28" s="223">
        <f>$E$28</f>
        <v>64000</v>
      </c>
      <c r="R28" s="223"/>
      <c r="S28" s="223">
        <f>$E$28</f>
        <v>64000</v>
      </c>
      <c r="T28" s="223"/>
      <c r="U28" s="223">
        <f>$E$28</f>
        <v>64000</v>
      </c>
      <c r="V28" s="223"/>
      <c r="W28" s="223">
        <f>$E$28</f>
        <v>64000</v>
      </c>
      <c r="X28" s="223"/>
      <c r="Y28" s="223">
        <f>$E$28</f>
        <v>64000</v>
      </c>
      <c r="Z28" s="223"/>
      <c r="AA28" s="223">
        <f>$E$28</f>
        <v>64000</v>
      </c>
      <c r="AB28" s="223"/>
      <c r="AC28" s="223">
        <f>$E$28</f>
        <v>64000</v>
      </c>
      <c r="AD28" s="223"/>
      <c r="AE28" s="223">
        <f>$E$28</f>
        <v>64000</v>
      </c>
      <c r="AF28" s="223"/>
      <c r="AG28" s="223">
        <f>$E$28</f>
        <v>64000</v>
      </c>
    </row>
    <row r="29" spans="1:33" s="211" customFormat="1" ht="14">
      <c r="A29" s="211" t="s">
        <v>1681</v>
      </c>
      <c r="C29" s="238"/>
      <c r="E29" s="223">
        <f>Application!AC890</f>
        <v>5000</v>
      </c>
      <c r="F29" s="223"/>
      <c r="G29" s="223">
        <f>$E$29</f>
        <v>5000</v>
      </c>
      <c r="H29" s="223"/>
      <c r="I29" s="223">
        <f>$E$29</f>
        <v>5000</v>
      </c>
      <c r="J29" s="223"/>
      <c r="K29" s="223">
        <f>$E$29</f>
        <v>5000</v>
      </c>
      <c r="L29" s="223"/>
      <c r="M29" s="223">
        <f>$E$29</f>
        <v>5000</v>
      </c>
      <c r="N29" s="223"/>
      <c r="O29" s="223">
        <f>$E$29</f>
        <v>5000</v>
      </c>
      <c r="P29" s="223"/>
      <c r="Q29" s="223">
        <f>$E$29</f>
        <v>5000</v>
      </c>
      <c r="R29" s="223"/>
      <c r="S29" s="223">
        <f>$E$29</f>
        <v>5000</v>
      </c>
      <c r="T29" s="223"/>
      <c r="U29" s="223">
        <f>$E$29</f>
        <v>5000</v>
      </c>
      <c r="V29" s="223"/>
      <c r="W29" s="223">
        <f>$E$29</f>
        <v>5000</v>
      </c>
      <c r="X29" s="223"/>
      <c r="Y29" s="223">
        <f>$E$29</f>
        <v>5000</v>
      </c>
      <c r="Z29" s="223"/>
      <c r="AA29" s="223">
        <f>$E$29</f>
        <v>5000</v>
      </c>
      <c r="AB29" s="223"/>
      <c r="AC29" s="223">
        <f>$E$29</f>
        <v>5000</v>
      </c>
      <c r="AD29" s="223"/>
      <c r="AE29" s="223">
        <f>$E$29</f>
        <v>5000</v>
      </c>
      <c r="AF29" s="223"/>
      <c r="AG29" s="223">
        <f>$E$29</f>
        <v>5000</v>
      </c>
    </row>
    <row r="30" spans="1:33" s="211" customFormat="1" ht="14">
      <c r="A30" s="211" t="s">
        <v>845</v>
      </c>
      <c r="C30" s="238">
        <v>1.02</v>
      </c>
      <c r="E30" s="223">
        <f>Application!AC891</f>
        <v>8000</v>
      </c>
      <c r="F30" s="223"/>
      <c r="G30" s="223">
        <f>E30*$C$30</f>
        <v>8160</v>
      </c>
      <c r="H30" s="223"/>
      <c r="I30" s="223">
        <f>G30*$C$30</f>
        <v>8323.2000000000007</v>
      </c>
      <c r="J30" s="223"/>
      <c r="K30" s="223">
        <f>I30*$C$30</f>
        <v>8489.6640000000007</v>
      </c>
      <c r="L30" s="223"/>
      <c r="M30" s="223">
        <f>K30*$C$30</f>
        <v>8659.4572800000005</v>
      </c>
      <c r="N30" s="223"/>
      <c r="O30" s="223">
        <f>M30*$C$30</f>
        <v>8832.6464255999999</v>
      </c>
      <c r="P30" s="223"/>
      <c r="Q30" s="223">
        <f>O30*$C$30</f>
        <v>9009.2993541119995</v>
      </c>
      <c r="R30" s="223"/>
      <c r="S30" s="223">
        <f>Q30*$C$30</f>
        <v>9189.4853411942404</v>
      </c>
      <c r="T30" s="223"/>
      <c r="U30" s="223">
        <f>S30*$C$30</f>
        <v>9373.2750480181257</v>
      </c>
      <c r="V30" s="223"/>
      <c r="W30" s="223">
        <f>U30*$C$30</f>
        <v>9560.7405489784887</v>
      </c>
      <c r="X30" s="223"/>
      <c r="Y30" s="223">
        <f>W30*$C$30</f>
        <v>9751.9553599580595</v>
      </c>
      <c r="Z30" s="223"/>
      <c r="AA30" s="223">
        <f>Y30*$C$30</f>
        <v>9946.9944671572212</v>
      </c>
      <c r="AB30" s="223"/>
      <c r="AC30" s="223">
        <f>AA30*$C$30</f>
        <v>10145.934356500366</v>
      </c>
      <c r="AD30" s="223"/>
      <c r="AE30" s="223">
        <f>AC30*$C$30</f>
        <v>10348.853043630374</v>
      </c>
      <c r="AF30" s="223"/>
      <c r="AG30" s="223">
        <f>AE30*$C$30</f>
        <v>10555.830104502982</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Bond Issuer Fee:</v>
      </c>
      <c r="C32" s="317">
        <v>1.0349999999999999</v>
      </c>
      <c r="E32" s="223">
        <f>Application!AC894</f>
        <v>4000</v>
      </c>
      <c r="F32" s="223"/>
      <c r="G32" s="223">
        <f>E32*$C$32</f>
        <v>4140</v>
      </c>
      <c r="H32" s="223"/>
      <c r="I32" s="223">
        <f>G32*$C$32</f>
        <v>4284.8999999999996</v>
      </c>
      <c r="J32" s="223"/>
      <c r="K32" s="223">
        <f>I32*$C$32</f>
        <v>4434.8714999999993</v>
      </c>
      <c r="L32" s="223"/>
      <c r="M32" s="223">
        <f>K32*$C$32</f>
        <v>4590.0920024999987</v>
      </c>
      <c r="N32" s="223"/>
      <c r="O32" s="223">
        <f>M32*$C$32</f>
        <v>4750.7452225874986</v>
      </c>
      <c r="P32" s="223"/>
      <c r="Q32" s="223">
        <f>O32*$C$32</f>
        <v>4917.0213053780608</v>
      </c>
      <c r="R32" s="223"/>
      <c r="S32" s="223">
        <f>Q32*$C$32</f>
        <v>5089.1170510662923</v>
      </c>
      <c r="T32" s="223"/>
      <c r="U32" s="223">
        <f>S32*$C$32</f>
        <v>5267.2361478536122</v>
      </c>
      <c r="V32" s="223"/>
      <c r="W32" s="223">
        <f>U32*$C$32</f>
        <v>5451.5894130284878</v>
      </c>
      <c r="X32" s="223"/>
      <c r="Y32" s="223">
        <f>W32*$C$32</f>
        <v>5642.3950424844843</v>
      </c>
      <c r="Z32" s="223"/>
      <c r="AA32" s="223">
        <f>Y32*$C$32</f>
        <v>5839.8788689714411</v>
      </c>
      <c r="AB32" s="223"/>
      <c r="AC32" s="223">
        <f>AA32*$C$32</f>
        <v>6044.2746293854407</v>
      </c>
      <c r="AD32" s="223"/>
      <c r="AE32" s="223">
        <f>AC32*$C$32</f>
        <v>6255.8242414139304</v>
      </c>
      <c r="AF32" s="223"/>
      <c r="AG32" s="223">
        <f>AE32*$C$32</f>
        <v>6474.7780898634173</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1545939</v>
      </c>
      <c r="G35" s="224">
        <f>SUM(G22:G33)</f>
        <v>1597511.8649999998</v>
      </c>
      <c r="I35" s="224">
        <f>SUM(I22:I33)</f>
        <v>1650887.3802749997</v>
      </c>
      <c r="K35" s="224">
        <f>SUM(K22:K33)</f>
        <v>1706128.5905846246</v>
      </c>
      <c r="M35" s="224">
        <f>SUM(M22:M33)</f>
        <v>1763300.7462950866</v>
      </c>
      <c r="O35" s="224">
        <f>SUM(O22:O33)</f>
        <v>1822471.3805562144</v>
      </c>
      <c r="Q35" s="224">
        <f>SUM(Q22:Q33)</f>
        <v>1883710.3891792975</v>
      </c>
      <c r="S35" s="224">
        <f>SUM(S22:S33)</f>
        <v>1947090.1133102612</v>
      </c>
      <c r="U35" s="224">
        <f>SUM(U22:U33)</f>
        <v>2012685.4249960021</v>
      </c>
      <c r="W35" s="224">
        <f>SUM(W22:W33)</f>
        <v>2080573.8157451418</v>
      </c>
      <c r="Y35" s="224">
        <f>SUM(Y22:Y33)</f>
        <v>2150835.4881879874</v>
      </c>
      <c r="AA35" s="224">
        <f>SUM(AA22:AA33)</f>
        <v>2223553.4509441671</v>
      </c>
      <c r="AC35" s="224">
        <f>SUM(AC22:AC33)</f>
        <v>2298813.6168102049</v>
      </c>
      <c r="AE35" s="224">
        <f>SUM(AE22:AE33)</f>
        <v>2376704.9043832142</v>
      </c>
      <c r="AG35" s="224">
        <f>SUM(AG22:AG33)</f>
        <v>2457319.3432409726</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561408.94999999972</v>
      </c>
      <c r="G37" s="224">
        <f>G11-G35</f>
        <v>562519.78374999994</v>
      </c>
      <c r="I37" s="224">
        <f>I11-I35</f>
        <v>563145.05969374976</v>
      </c>
      <c r="K37" s="224">
        <f>K11-K35</f>
        <v>563254.66038334323</v>
      </c>
      <c r="M37" s="224">
        <f>M11-M35</f>
        <v>562817.08594708052</v>
      </c>
      <c r="O37" s="224">
        <f>O11-O35</f>
        <v>561799.39749200619</v>
      </c>
      <c r="Q37" s="224">
        <f>Q11-Q35</f>
        <v>560167.15832012822</v>
      </c>
      <c r="S37" s="224">
        <f>S11-S35</f>
        <v>557884.37287665019</v>
      </c>
      <c r="U37" s="224">
        <f>U11-U35</f>
        <v>554913.42334558163</v>
      </c>
      <c r="W37" s="224">
        <f>W11-W35</f>
        <v>551215.00380498124</v>
      </c>
      <c r="Y37" s="224">
        <f>Y11-Y35</f>
        <v>546748.05185088841</v>
      </c>
      <c r="AA37" s="224">
        <f>AA11-AA35</f>
        <v>541469.67759568058</v>
      </c>
      <c r="AC37" s="224">
        <f>AC11-AC35</f>
        <v>535335.08994313888</v>
      </c>
      <c r="AE37" s="224">
        <f>AE11-AE35</f>
        <v>528297.52003896236</v>
      </c>
      <c r="AG37" s="224">
        <f>AG11-AG35</f>
        <v>520308.14179175813</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Chase</v>
      </c>
      <c r="B40" s="227"/>
      <c r="C40" s="221"/>
      <c r="E40" s="223">
        <f>Application!AF627</f>
        <v>317709.06526782247</v>
      </c>
      <c r="F40" s="223"/>
      <c r="G40" s="223">
        <f>$E$40</f>
        <v>317709.06526782247</v>
      </c>
      <c r="H40" s="223"/>
      <c r="I40" s="223">
        <f>$E$40</f>
        <v>317709.06526782247</v>
      </c>
      <c r="J40" s="223"/>
      <c r="K40" s="223">
        <f>$E$40</f>
        <v>317709.06526782247</v>
      </c>
      <c r="L40" s="223"/>
      <c r="M40" s="223">
        <f>$E$40</f>
        <v>317709.06526782247</v>
      </c>
      <c r="N40" s="223"/>
      <c r="O40" s="223">
        <f>$E$40</f>
        <v>317709.06526782247</v>
      </c>
      <c r="P40" s="223"/>
      <c r="Q40" s="223">
        <f>$E$40</f>
        <v>317709.06526782247</v>
      </c>
      <c r="R40" s="223"/>
      <c r="S40" s="223">
        <f>$E$40</f>
        <v>317709.06526782247</v>
      </c>
      <c r="T40" s="223"/>
      <c r="U40" s="223">
        <f>$E$40</f>
        <v>317709.06526782247</v>
      </c>
      <c r="V40" s="223"/>
      <c r="W40" s="223">
        <f>$E$40</f>
        <v>317709.06526782247</v>
      </c>
      <c r="X40" s="223"/>
      <c r="Y40" s="223">
        <f>$E$40</f>
        <v>317709.06526782247</v>
      </c>
      <c r="Z40" s="223"/>
      <c r="AA40" s="223">
        <f>$E$40</f>
        <v>317709.06526782247</v>
      </c>
      <c r="AB40" s="223"/>
      <c r="AC40" s="223">
        <f>$E$40</f>
        <v>317709.06526782247</v>
      </c>
      <c r="AD40" s="223"/>
      <c r="AE40" s="223">
        <f>$E$40</f>
        <v>317709.06526782247</v>
      </c>
      <c r="AF40" s="223"/>
      <c r="AG40" s="223">
        <f>$E$40</f>
        <v>317709.06526782247</v>
      </c>
    </row>
    <row r="41" spans="1:33" s="211" customFormat="1" ht="14">
      <c r="A41" s="226" t="s">
        <v>2199</v>
      </c>
      <c r="B41" s="227"/>
      <c r="C41" s="221"/>
      <c r="E41" s="223">
        <f>Application!AF628</f>
        <v>131410.43159999998</v>
      </c>
      <c r="F41" s="223"/>
      <c r="G41" s="223">
        <f>$E$41</f>
        <v>131410.43159999998</v>
      </c>
      <c r="H41" s="223"/>
      <c r="I41" s="223">
        <f>$E$41</f>
        <v>131410.43159999998</v>
      </c>
      <c r="J41" s="223"/>
      <c r="K41" s="223">
        <f>$E$41</f>
        <v>131410.43159999998</v>
      </c>
      <c r="L41" s="223"/>
      <c r="M41" s="223">
        <f>$E$41</f>
        <v>131410.43159999998</v>
      </c>
      <c r="N41" s="223"/>
      <c r="O41" s="223">
        <f>$E$41</f>
        <v>131410.43159999998</v>
      </c>
      <c r="P41" s="223"/>
      <c r="Q41" s="223">
        <f>$E$41</f>
        <v>131410.43159999998</v>
      </c>
      <c r="R41" s="223"/>
      <c r="S41" s="223">
        <f>$E$41</f>
        <v>131410.43159999998</v>
      </c>
      <c r="T41" s="223"/>
      <c r="U41" s="223">
        <f>$E$41</f>
        <v>131410.43159999998</v>
      </c>
      <c r="V41" s="223"/>
      <c r="W41" s="223">
        <f>$E$41</f>
        <v>131410.43159999998</v>
      </c>
      <c r="X41" s="223"/>
      <c r="Y41" s="223">
        <f>$E$41</f>
        <v>131410.43159999998</v>
      </c>
      <c r="Z41" s="223"/>
      <c r="AA41" s="223">
        <f>$E$41</f>
        <v>131410.43159999998</v>
      </c>
      <c r="AB41" s="223"/>
      <c r="AC41" s="223">
        <f>$E$41</f>
        <v>131410.43159999998</v>
      </c>
      <c r="AD41" s="223"/>
      <c r="AE41" s="223">
        <f>$E$41</f>
        <v>131410.43159999998</v>
      </c>
      <c r="AF41" s="223"/>
      <c r="AG41" s="223">
        <f>$E$41</f>
        <v>131410.43159999998</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449119.49686782248</v>
      </c>
      <c r="G43" s="224">
        <f>SUM(G40:G42)</f>
        <v>449119.49686782248</v>
      </c>
      <c r="I43" s="224">
        <f>SUM(I40:I42)</f>
        <v>449119.49686782248</v>
      </c>
      <c r="K43" s="224">
        <f>SUM(K40:K42)</f>
        <v>449119.49686782248</v>
      </c>
      <c r="M43" s="224">
        <f>SUM(M40:M42)</f>
        <v>449119.49686782248</v>
      </c>
      <c r="O43" s="224">
        <f>SUM(O40:O42)</f>
        <v>449119.49686782248</v>
      </c>
      <c r="Q43" s="224">
        <f>SUM(Q40:Q42)</f>
        <v>449119.49686782248</v>
      </c>
      <c r="S43" s="224">
        <f>SUM(S40:S42)</f>
        <v>449119.49686782248</v>
      </c>
      <c r="U43" s="224">
        <f>SUM(U40:U42)</f>
        <v>449119.49686782248</v>
      </c>
      <c r="W43" s="224">
        <f>SUM(W40:W42)</f>
        <v>449119.49686782248</v>
      </c>
      <c r="Y43" s="224">
        <f>SUM(Y40:Y42)</f>
        <v>449119.49686782248</v>
      </c>
      <c r="AA43" s="224">
        <f>SUM(AA40:AA42)</f>
        <v>449119.49686782248</v>
      </c>
      <c r="AC43" s="224">
        <f>SUM(AC40:AC42)</f>
        <v>449119.49686782248</v>
      </c>
      <c r="AE43" s="224">
        <f>SUM(AE40:AE42)</f>
        <v>449119.49686782248</v>
      </c>
      <c r="AG43" s="224">
        <f>SUM(AG40:AG42)</f>
        <v>449119.49686782248</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112289.45313217724</v>
      </c>
      <c r="G45" s="224">
        <f>G37-G43</f>
        <v>113400.28688217746</v>
      </c>
      <c r="I45" s="224">
        <f>I37-I43</f>
        <v>114025.56282592728</v>
      </c>
      <c r="K45" s="224">
        <f>K37-K43</f>
        <v>114135.16351552075</v>
      </c>
      <c r="M45" s="224">
        <f>M37-M43</f>
        <v>113697.58907925803</v>
      </c>
      <c r="O45" s="224">
        <f>O37-O43</f>
        <v>112679.90062418371</v>
      </c>
      <c r="Q45" s="224">
        <f>Q37-Q43</f>
        <v>111047.66145230574</v>
      </c>
      <c r="S45" s="224">
        <f>S37-S43</f>
        <v>108764.8760088277</v>
      </c>
      <c r="U45" s="224">
        <f>U37-U43</f>
        <v>105793.92647775915</v>
      </c>
      <c r="W45" s="224">
        <f>W37-W43</f>
        <v>102095.50693715876</v>
      </c>
      <c r="Y45" s="224">
        <f>Y37-Y43</f>
        <v>97628.554983065929</v>
      </c>
      <c r="AA45" s="224">
        <f>AA37-AA43</f>
        <v>92350.180727858096</v>
      </c>
      <c r="AC45" s="224">
        <f>AC37-AC43</f>
        <v>86215.593075316399</v>
      </c>
      <c r="AE45" s="224">
        <f>AE37-AE43</f>
        <v>79178.023171139881</v>
      </c>
      <c r="AG45" s="224">
        <f>AG37-AG43</f>
        <v>71188.644923935644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5.0620487459400509E-2</v>
      </c>
      <c r="G47" s="228">
        <f>G45/(G4+G6+G8)</f>
        <v>4.9874395405461576E-2</v>
      </c>
      <c r="I47" s="228">
        <f>I45/(I4+I6+I8)</f>
        <v>4.8926240975114117E-2</v>
      </c>
      <c r="K47" s="228">
        <f>K45/(K4+K6+K8)</f>
        <v>4.7778798620064004E-2</v>
      </c>
      <c r="M47" s="228">
        <f>M45/(M4+M6+M8)</f>
        <v>4.6434754133319489E-2</v>
      </c>
      <c r="O47" s="228">
        <f>O45/(O4+O6+O8)</f>
        <v>4.4896706606706388E-2</v>
      </c>
      <c r="Q47" s="228">
        <f>Q45/(Q4+Q6+Q8)</f>
        <v>4.3167170338642029E-2</v>
      </c>
      <c r="S47" s="228">
        <f>S45/(S4+S6+S8)</f>
        <v>4.1248576693358185E-2</v>
      </c>
      <c r="U47" s="228">
        <f>U45/(U4+U6+U8)</f>
        <v>3.9143275912741207E-2</v>
      </c>
      <c r="W47" s="228">
        <f>W45/(W4+W6+W8)</f>
        <v>3.6853538881923047E-2</v>
      </c>
      <c r="Y47" s="228">
        <f>Y45/(Y4+Y6+Y8)</f>
        <v>3.4381558849731125E-2</v>
      </c>
      <c r="AA47" s="228">
        <f>AA45/(AA4+AA6+AA8)</f>
        <v>3.1729453105079464E-2</v>
      </c>
      <c r="AC47" s="228">
        <f>AC45/(AC4+AC6+AC8)</f>
        <v>2.8899264610351572E-2</v>
      </c>
      <c r="AE47" s="228">
        <f>AE45/(AE4+AE6+AE8)</f>
        <v>2.5892963592808172E-2</v>
      </c>
      <c r="AG47" s="228">
        <f>AG45/(AG4+AG6+AG8)</f>
        <v>2.2712449095020178E-2</v>
      </c>
    </row>
    <row r="48" spans="1:33" s="228" customFormat="1" ht="14">
      <c r="A48" s="228" t="s">
        <v>853</v>
      </c>
      <c r="C48" s="221"/>
      <c r="E48" s="228">
        <f>E45/E43</f>
        <v>0.25002132821061751</v>
      </c>
      <c r="G48" s="228">
        <f>G45/G43</f>
        <v>0.25249468721138951</v>
      </c>
      <c r="I48" s="228">
        <f>I45/I43</f>
        <v>0.2538869134409576</v>
      </c>
      <c r="K48" s="228">
        <f>K45/K43</f>
        <v>0.25413094802497777</v>
      </c>
      <c r="M48" s="228">
        <f>M45/M43</f>
        <v>0.25315665401344101</v>
      </c>
      <c r="O48" s="228">
        <f>O45/O43</f>
        <v>0.2508906903619591</v>
      </c>
      <c r="Q48" s="228">
        <f>Q45/Q43</f>
        <v>0.24725638104503728</v>
      </c>
      <c r="S48" s="228">
        <f>S45/S43</f>
        <v>0.24217357911949569</v>
      </c>
      <c r="U48" s="228">
        <f>U45/U43</f>
        <v>0.23555852554959261</v>
      </c>
      <c r="W48" s="228">
        <f>W45/W43</f>
        <v>0.22732370259847759</v>
      </c>
      <c r="Y48" s="228">
        <f>Y45/Y43</f>
        <v>0.21737768158347925</v>
      </c>
      <c r="AA48" s="228">
        <f>AA45/AA43</f>
        <v>0.20562496478534553</v>
      </c>
      <c r="AC48" s="228">
        <f>AC45/AC43</f>
        <v>0.19196582129385928</v>
      </c>
      <c r="AE48" s="228">
        <f>AE45/AE43</f>
        <v>0.17629611656436786</v>
      </c>
      <c r="AG48" s="228">
        <f>AG45/AG43</f>
        <v>0.15850713545149595</v>
      </c>
    </row>
    <row r="49" spans="1:34" s="229" customFormat="1" ht="14">
      <c r="A49" s="229" t="s">
        <v>851</v>
      </c>
      <c r="C49" s="230"/>
      <c r="E49" s="229">
        <f>E37/E43</f>
        <v>1.2500213282106174</v>
      </c>
      <c r="G49" s="229">
        <f>G37/G43</f>
        <v>1.2524946872113896</v>
      </c>
      <c r="I49" s="229">
        <f>I37/I43</f>
        <v>1.2538869134409576</v>
      </c>
      <c r="K49" s="229">
        <f>K37/K43</f>
        <v>1.2541309480249778</v>
      </c>
      <c r="M49" s="229">
        <f>M37/M43</f>
        <v>1.2531566540134409</v>
      </c>
      <c r="O49" s="229">
        <f>O37/O43</f>
        <v>1.250890690361959</v>
      </c>
      <c r="Q49" s="229">
        <f>Q37/Q43</f>
        <v>1.2472563810450372</v>
      </c>
      <c r="S49" s="229">
        <f>S37/S43</f>
        <v>1.2421735791194957</v>
      </c>
      <c r="U49" s="229">
        <f>U37/U43</f>
        <v>1.2355585255495927</v>
      </c>
      <c r="W49" s="229">
        <f>W37/W43</f>
        <v>1.2273237025984776</v>
      </c>
      <c r="Y49" s="229">
        <f>Y37/Y43</f>
        <v>1.2173776815834794</v>
      </c>
      <c r="AA49" s="229">
        <f>AA37/AA43</f>
        <v>1.2056249647853454</v>
      </c>
      <c r="AC49" s="229">
        <f>AC37/AC43</f>
        <v>1.1919658212938593</v>
      </c>
      <c r="AE49" s="229">
        <f>AE37/AE43</f>
        <v>1.1762961165643679</v>
      </c>
      <c r="AG49" s="229">
        <f>AG37/AG43</f>
        <v>1.158507135451496</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2" t="s">
        <v>1185</v>
      </c>
      <c r="B52" s="2692"/>
      <c r="C52" s="269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112289.45313217724</v>
      </c>
      <c r="G60" s="963">
        <f>G45-G58</f>
        <v>113400.28688217746</v>
      </c>
      <c r="I60" s="963">
        <f>I45-I58</f>
        <v>114025.56282592728</v>
      </c>
      <c r="K60" s="963">
        <f>K45-K58</f>
        <v>114135.16351552075</v>
      </c>
      <c r="M60" s="963">
        <f>M45-M58</f>
        <v>113697.58907925803</v>
      </c>
      <c r="O60" s="963">
        <f>O45-O58</f>
        <v>112679.90062418371</v>
      </c>
      <c r="Q60" s="963">
        <f>Q45-Q58</f>
        <v>111047.66145230574</v>
      </c>
      <c r="S60" s="963">
        <f>S45-S58</f>
        <v>108764.8760088277</v>
      </c>
      <c r="U60" s="963">
        <f>U45-U58</f>
        <v>105793.92647775915</v>
      </c>
      <c r="W60" s="963">
        <f>W45-W58</f>
        <v>102095.50693715876</v>
      </c>
      <c r="Y60" s="963">
        <f>Y45-Y58</f>
        <v>97628.554983065929</v>
      </c>
      <c r="AA60" s="963">
        <f>AA45-AA58</f>
        <v>92350.180727858096</v>
      </c>
      <c r="AC60" s="963">
        <f>AC45-AC58</f>
        <v>86215.593075316399</v>
      </c>
      <c r="AE60" s="963">
        <f>AE45-AE58</f>
        <v>79178.023171139881</v>
      </c>
      <c r="AG60" s="963">
        <f>AG45-AG58</f>
        <v>71188.644923935644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2" t="s">
        <v>1185</v>
      </c>
      <c r="B63" s="2692"/>
      <c r="C63" s="269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112289.45313217724</v>
      </c>
      <c r="G72" s="963">
        <f>G60-G62-G70</f>
        <v>113400.28688217746</v>
      </c>
      <c r="I72" s="963">
        <f>I60-I62-I70</f>
        <v>114025.56282592728</v>
      </c>
      <c r="K72" s="963">
        <f>K60-K62-K70</f>
        <v>114135.16351552075</v>
      </c>
      <c r="M72" s="963">
        <f>M60-M62-M70</f>
        <v>113697.58907925803</v>
      </c>
      <c r="O72" s="963">
        <f>O60-O62-O70</f>
        <v>112679.90062418371</v>
      </c>
      <c r="Q72" s="963">
        <f>Q60-Q62-Q70</f>
        <v>111047.66145230574</v>
      </c>
      <c r="S72" s="963">
        <f>S60-S62-S70</f>
        <v>108764.8760088277</v>
      </c>
      <c r="U72" s="963">
        <f>U60-U62-U70</f>
        <v>105793.92647775915</v>
      </c>
      <c r="W72" s="963">
        <f>W60-W62-W70</f>
        <v>102095.50693715876</v>
      </c>
      <c r="Y72" s="963">
        <f>Y60-Y62-Y70</f>
        <v>97628.554983065929</v>
      </c>
      <c r="AA72" s="963">
        <f>AA60-AA62-AA70</f>
        <v>92350.180727858096</v>
      </c>
      <c r="AC72" s="963">
        <f>AC60-AC62-AC70</f>
        <v>86215.593075316399</v>
      </c>
      <c r="AE72" s="963">
        <f>AE60-AE62-AE70</f>
        <v>79178.023171139881</v>
      </c>
      <c r="AG72" s="963">
        <f>AG60-AG62-AG70</f>
        <v>71188.644923935644</v>
      </c>
    </row>
    <row r="73" spans="1:34" s="961" customFormat="1" ht="13">
      <c r="A73" s="530"/>
      <c r="B73" s="1259" t="s">
        <v>2754</v>
      </c>
      <c r="C73" s="971"/>
    </row>
    <row r="74" spans="1:34" s="961" customFormat="1" ht="13">
      <c r="A74" s="530"/>
      <c r="B74" s="961" t="s">
        <v>2755</v>
      </c>
      <c r="C74" s="1260">
        <f>C4</f>
        <v>1.0249999999999999</v>
      </c>
      <c r="E74" s="961">
        <v>50000</v>
      </c>
      <c r="G74" s="961">
        <f>E74*$C$74</f>
        <v>51249.999999999993</v>
      </c>
      <c r="I74" s="961">
        <f t="shared" ref="I74" si="3">G74*$C$74</f>
        <v>52531.249999999985</v>
      </c>
      <c r="K74" s="961">
        <f t="shared" ref="K74" si="4">I74*$C$74</f>
        <v>53844.531249999978</v>
      </c>
      <c r="M74" s="961">
        <f t="shared" ref="M74" si="5">K74*$C$74</f>
        <v>55190.644531249971</v>
      </c>
      <c r="O74" s="961">
        <f t="shared" ref="O74" si="6">M74*$C$74</f>
        <v>56570.410644531214</v>
      </c>
      <c r="Q74" s="961">
        <f t="shared" ref="Q74" si="7">O74*$C$74</f>
        <v>57984.670910644491</v>
      </c>
      <c r="S74" s="961">
        <f t="shared" ref="S74" si="8">Q74*$C$74</f>
        <v>59434.287683410599</v>
      </c>
      <c r="U74" s="961">
        <f t="shared" ref="U74" si="9">S74*$C$74</f>
        <v>60920.144875495862</v>
      </c>
      <c r="W74" s="961">
        <f t="shared" ref="W74" si="10">U74*$C$74</f>
        <v>62443.148497383256</v>
      </c>
      <c r="Y74" s="961">
        <f t="shared" ref="Y74" si="11">W74*$C$74</f>
        <v>64004.227209817829</v>
      </c>
      <c r="AA74" s="961">
        <f t="shared" ref="AA74" si="12">Y74*$C$74</f>
        <v>65604.332890063262</v>
      </c>
      <c r="AC74" s="961">
        <f t="shared" ref="AC74" si="13">AA74*$C$74</f>
        <v>67244.441212314836</v>
      </c>
      <c r="AE74" s="961">
        <f t="shared" ref="AE74" si="14">AC74*$C$74</f>
        <v>68925.552242622696</v>
      </c>
      <c r="AG74" s="961">
        <f t="shared" ref="AG74" si="15">AE74*$C$74</f>
        <v>70648.691048688255</v>
      </c>
    </row>
    <row r="75" spans="1:34" s="961" customFormat="1" ht="13">
      <c r="A75" s="530"/>
      <c r="B75" s="961" t="s">
        <v>2756</v>
      </c>
      <c r="C75" s="960">
        <v>0.25</v>
      </c>
      <c r="E75" s="961">
        <f>E74*-C75</f>
        <v>-12500</v>
      </c>
      <c r="G75" s="961">
        <f>G74*-$C$75</f>
        <v>-12812.499999999998</v>
      </c>
      <c r="I75" s="961">
        <f t="shared" ref="I75" si="16">I74*-$C$75</f>
        <v>-13132.812499999996</v>
      </c>
      <c r="K75" s="961">
        <f t="shared" ref="K75" si="17">K74*-$C$75</f>
        <v>-13461.132812499995</v>
      </c>
      <c r="M75" s="961">
        <f t="shared" ref="M75" si="18">M74*-$C$75</f>
        <v>-13797.661132812493</v>
      </c>
      <c r="O75" s="961">
        <f t="shared" ref="O75" si="19">O74*-$C$75</f>
        <v>-14142.602661132803</v>
      </c>
      <c r="Q75" s="961">
        <f t="shared" ref="Q75" si="20">Q74*-$C$75</f>
        <v>-14496.167727661123</v>
      </c>
      <c r="S75" s="961">
        <f t="shared" ref="S75" si="21">S74*-$C$75</f>
        <v>-14858.57192085265</v>
      </c>
      <c r="U75" s="961">
        <f t="shared" ref="U75" si="22">U74*-$C$75</f>
        <v>-15230.036218873965</v>
      </c>
      <c r="W75" s="961">
        <f t="shared" ref="W75" si="23">W74*-$C$75</f>
        <v>-15610.787124345814</v>
      </c>
      <c r="Y75" s="961">
        <f t="shared" ref="Y75" si="24">Y74*-$C$75</f>
        <v>-16001.056802454457</v>
      </c>
      <c r="AA75" s="961">
        <f t="shared" ref="AA75" si="25">AA74*-$C$75</f>
        <v>-16401.083222515816</v>
      </c>
      <c r="AC75" s="961">
        <f t="shared" ref="AC75" si="26">AC74*-$C$75</f>
        <v>-16811.110303078709</v>
      </c>
      <c r="AE75" s="961">
        <f t="shared" ref="AE75" si="27">AE74*-$C$75</f>
        <v>-17231.388060655674</v>
      </c>
      <c r="AG75" s="961">
        <f t="shared" ref="AG75" si="28">AG74*-$C$75</f>
        <v>-17662.172762172064</v>
      </c>
    </row>
    <row r="76" spans="1:34" s="961" customFormat="1" ht="13">
      <c r="A76" s="530"/>
      <c r="B76" s="961" t="s">
        <v>2757</v>
      </c>
      <c r="C76" s="1260">
        <f>C74</f>
        <v>1.0249999999999999</v>
      </c>
      <c r="E76" s="961">
        <f>-37500</f>
        <v>-37500</v>
      </c>
      <c r="G76" s="961">
        <f>E76*$C$76</f>
        <v>-38437.5</v>
      </c>
      <c r="I76" s="961">
        <f t="shared" ref="I76" si="29">G76*$C$76</f>
        <v>-39398.4375</v>
      </c>
      <c r="K76" s="961">
        <f t="shared" ref="K76" si="30">I76*$C$76</f>
        <v>-40383.3984375</v>
      </c>
      <c r="M76" s="961">
        <f t="shared" ref="M76" si="31">K76*$C$76</f>
        <v>-41392.9833984375</v>
      </c>
      <c r="O76" s="961">
        <f t="shared" ref="O76" si="32">M76*$C$76</f>
        <v>-42427.80798339843</v>
      </c>
      <c r="Q76" s="961">
        <f t="shared" ref="Q76" si="33">O76*$C$76</f>
        <v>-43488.50318298339</v>
      </c>
      <c r="S76" s="961">
        <f t="shared" ref="S76" si="34">Q76*$C$76</f>
        <v>-44575.715762557971</v>
      </c>
      <c r="U76" s="961">
        <f t="shared" ref="U76" si="35">S76*$C$76</f>
        <v>-45690.108656621916</v>
      </c>
      <c r="W76" s="961">
        <f t="shared" ref="W76" si="36">U76*$C$76</f>
        <v>-46832.361373037464</v>
      </c>
      <c r="Y76" s="961">
        <f t="shared" ref="Y76" si="37">W76*$C$76</f>
        <v>-48003.170407363395</v>
      </c>
      <c r="AA76" s="961">
        <f t="shared" ref="AA76" si="38">Y76*$C$76</f>
        <v>-49203.249667547476</v>
      </c>
      <c r="AC76" s="961">
        <f t="shared" ref="AC76" si="39">AA76*$C$76</f>
        <v>-50433.33090923616</v>
      </c>
      <c r="AE76" s="961">
        <f t="shared" ref="AE76" si="40">AC76*$C$76</f>
        <v>-51694.164181967062</v>
      </c>
      <c r="AG76" s="961">
        <f t="shared" ref="AG76" si="41">AE76*$C$76</f>
        <v>-52986.518286516235</v>
      </c>
    </row>
    <row r="77" spans="1:34" s="961" customFormat="1" ht="13">
      <c r="A77" s="530"/>
      <c r="B77" s="961" t="s">
        <v>2758</v>
      </c>
      <c r="C77" s="971"/>
      <c r="E77" s="961">
        <f>E74+E75+E76</f>
        <v>0</v>
      </c>
      <c r="G77" s="961">
        <f>G74+G75+G76</f>
        <v>0</v>
      </c>
      <c r="I77" s="961">
        <f t="shared" ref="I77" si="42">I74+I75+I76</f>
        <v>0</v>
      </c>
      <c r="K77" s="961">
        <f t="shared" ref="K77" si="43">K74+K75+K76</f>
        <v>0</v>
      </c>
      <c r="M77" s="961">
        <f t="shared" ref="M77" si="44">M74+M75+M76</f>
        <v>0</v>
      </c>
      <c r="O77" s="961">
        <f t="shared" ref="O77" si="45">O74+O75+O76</f>
        <v>0</v>
      </c>
      <c r="Q77" s="961">
        <f t="shared" ref="Q77" si="46">Q74+Q75+Q76</f>
        <v>0</v>
      </c>
      <c r="S77" s="961">
        <f t="shared" ref="S77" si="47">S74+S75+S76</f>
        <v>0</v>
      </c>
      <c r="U77" s="961">
        <f t="shared" ref="U77" si="48">U74+U75+U76</f>
        <v>0</v>
      </c>
      <c r="W77" s="961">
        <f t="shared" ref="W77" si="49">W74+W75+W76</f>
        <v>0</v>
      </c>
      <c r="Y77" s="961">
        <f t="shared" ref="Y77" si="50">Y74+Y75+Y76</f>
        <v>0</v>
      </c>
      <c r="AA77" s="961">
        <f t="shared" ref="AA77" si="51">AA74+AA75+AA76</f>
        <v>0</v>
      </c>
      <c r="AC77" s="961">
        <f t="shared" ref="AC77" si="52">AC74+AC75+AC76</f>
        <v>0</v>
      </c>
      <c r="AE77" s="961">
        <f t="shared" ref="AE77" si="53">AE74+AE75+AE76</f>
        <v>0</v>
      </c>
      <c r="AG77" s="961">
        <f t="shared" ref="AG77" si="54">AG74+AG75+AG76</f>
        <v>0</v>
      </c>
    </row>
    <row r="78" spans="1:34" s="218" customFormat="1" ht="13">
      <c r="A78" s="530"/>
      <c r="C78" s="183"/>
    </row>
    <row r="79" spans="1:34" s="218" customFormat="1">
      <c r="A79" s="961" t="s">
        <v>1723</v>
      </c>
      <c r="C79" s="183"/>
    </row>
    <row r="80" spans="1:34" s="218" customFormat="1">
      <c r="C80" s="183"/>
    </row>
    <row r="81" spans="1:33" s="235" customFormat="1" ht="30" customHeight="1">
      <c r="A81" s="2690" t="s">
        <v>1722</v>
      </c>
      <c r="B81" s="2691"/>
      <c r="C81" s="2691"/>
      <c r="D81" s="2691"/>
      <c r="E81" s="2691"/>
      <c r="F81" s="2691"/>
      <c r="G81" s="2691"/>
      <c r="H81" s="2691"/>
      <c r="I81" s="2691"/>
      <c r="J81" s="2691"/>
      <c r="K81" s="2691"/>
      <c r="L81" s="2691"/>
      <c r="M81" s="2691"/>
      <c r="N81" s="2691"/>
      <c r="O81" s="2691"/>
      <c r="P81" s="2691"/>
      <c r="Q81" s="2691"/>
      <c r="R81" s="2691"/>
      <c r="S81" s="2691"/>
      <c r="T81" s="2691"/>
      <c r="U81" s="2691"/>
      <c r="V81" s="2691"/>
      <c r="W81" s="2691"/>
      <c r="X81" s="2691"/>
      <c r="Y81" s="2691"/>
      <c r="Z81" s="2691"/>
      <c r="AA81" s="2691"/>
      <c r="AB81" s="2691"/>
      <c r="AC81" s="2691"/>
      <c r="AD81" s="2691"/>
      <c r="AE81" s="2691"/>
      <c r="AF81" s="2691"/>
      <c r="AG81"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1:AG81"/>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67" workbookViewId="0">
      <selection activeCell="E92" sqref="E92"/>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6510198</v>
      </c>
      <c r="C5" s="267">
        <f>'Sources and Uses Budget'!$C4</f>
        <v>6510198</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37176</v>
      </c>
      <c r="C7" s="267">
        <f>'Sources and Uses Budget'!$C6</f>
        <v>37176</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6547374</v>
      </c>
      <c r="C9" s="271">
        <f>SUM(C5:C8)</f>
        <v>6547374</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962578</v>
      </c>
      <c r="C11" s="267">
        <f>'Sources and Uses Budget'!$C10</f>
        <v>962578</v>
      </c>
      <c r="D11" s="271">
        <f t="shared" si="0"/>
        <v>0</v>
      </c>
      <c r="E11" s="269"/>
      <c r="F11" s="268"/>
    </row>
    <row r="12" spans="1:6" s="353" customFormat="1">
      <c r="A12" s="366" t="s">
        <v>597</v>
      </c>
      <c r="B12" s="271">
        <f>SUM(B10:B11)</f>
        <v>962578</v>
      </c>
      <c r="C12" s="271">
        <f>SUM(C10:C11)</f>
        <v>962578</v>
      </c>
      <c r="D12" s="271">
        <f t="shared" si="0"/>
        <v>0</v>
      </c>
      <c r="E12" s="269"/>
      <c r="F12" s="268"/>
    </row>
    <row r="13" spans="1:6" s="353" customFormat="1">
      <c r="A13" s="366" t="s">
        <v>84</v>
      </c>
      <c r="B13" s="271">
        <f>SUM(B9+B12)</f>
        <v>7509952</v>
      </c>
      <c r="C13" s="271">
        <f>SUM(C9+C12)</f>
        <v>7509952</v>
      </c>
      <c r="D13" s="271">
        <f t="shared" si="0"/>
        <v>0</v>
      </c>
      <c r="E13" s="269"/>
      <c r="F13" s="268"/>
    </row>
    <row r="14" spans="1:6" s="353" customFormat="1">
      <c r="A14" s="367" t="s">
        <v>903</v>
      </c>
      <c r="B14" s="267">
        <f>'Sources and Uses Budget'!$C13</f>
        <v>40146</v>
      </c>
      <c r="C14" s="267">
        <f>'Sources and Uses Budget'!$C13</f>
        <v>40146</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566399</v>
      </c>
      <c r="C30" s="267">
        <f>'Sources and Uses Budget'!$C29</f>
        <v>566399</v>
      </c>
      <c r="D30" s="271">
        <f t="shared" si="0"/>
        <v>0</v>
      </c>
      <c r="E30" s="269"/>
      <c r="F30" s="268"/>
    </row>
    <row r="31" spans="1:6" s="353" customFormat="1">
      <c r="A31" s="145" t="s">
        <v>600</v>
      </c>
      <c r="B31" s="267">
        <f ca="1">'Sources and Uses Budget'!$C30</f>
        <v>46302689</v>
      </c>
      <c r="C31" s="267">
        <f ca="1">'Sources and Uses Budget'!$C30</f>
        <v>46302689</v>
      </c>
      <c r="D31" s="271">
        <f t="shared" ca="1" si="0"/>
        <v>0</v>
      </c>
      <c r="E31" s="269"/>
      <c r="F31" s="268"/>
    </row>
    <row r="32" spans="1:6" s="353" customFormat="1">
      <c r="A32" s="145" t="s">
        <v>601</v>
      </c>
      <c r="B32" s="267">
        <f>'Sources and Uses Budget'!$C31</f>
        <v>2475259</v>
      </c>
      <c r="C32" s="267">
        <f>'Sources and Uses Budget'!$C31</f>
        <v>2475259</v>
      </c>
      <c r="D32" s="271">
        <f t="shared" si="0"/>
        <v>0</v>
      </c>
      <c r="E32" s="269"/>
      <c r="F32" s="268"/>
    </row>
    <row r="33" spans="1:6" s="353" customFormat="1">
      <c r="A33" s="145" t="s">
        <v>137</v>
      </c>
      <c r="B33" s="267">
        <f>'Sources and Uses Budget'!$C32</f>
        <v>1189466</v>
      </c>
      <c r="C33" s="267">
        <f>'Sources and Uses Budget'!$C32</f>
        <v>1189466</v>
      </c>
      <c r="D33" s="271">
        <f t="shared" si="0"/>
        <v>0</v>
      </c>
      <c r="E33" s="269"/>
      <c r="F33" s="268"/>
    </row>
    <row r="34" spans="1:6" s="353" customFormat="1">
      <c r="A34" s="145" t="s">
        <v>138</v>
      </c>
      <c r="B34" s="267">
        <f>'Sources and Uses Budget'!$C33</f>
        <v>1189467</v>
      </c>
      <c r="C34" s="267">
        <f>'Sources and Uses Budget'!$C33</f>
        <v>1189467</v>
      </c>
      <c r="D34" s="271">
        <f t="shared" si="0"/>
        <v>0</v>
      </c>
      <c r="E34" s="269"/>
      <c r="F34" s="268"/>
    </row>
    <row r="35" spans="1:6" s="353" customFormat="1">
      <c r="A35" s="145" t="s">
        <v>139</v>
      </c>
      <c r="B35" s="267">
        <f ca="1">'Sources and Uses Budget'!$C34</f>
        <v>9373818</v>
      </c>
      <c r="C35" s="267">
        <f ca="1">'Sources and Uses Budget'!$C34</f>
        <v>9373818</v>
      </c>
      <c r="D35" s="271">
        <f t="shared" ca="1" si="0"/>
        <v>0</v>
      </c>
      <c r="E35" s="269"/>
      <c r="F35" s="268"/>
    </row>
    <row r="36" spans="1:6" s="353" customFormat="1">
      <c r="A36" s="145" t="s">
        <v>140</v>
      </c>
      <c r="B36" s="267">
        <f>'Sources and Uses Budget'!$C35</f>
        <v>1208466</v>
      </c>
      <c r="C36" s="267">
        <f>'Sources and Uses Budget'!$C35</f>
        <v>1208466</v>
      </c>
      <c r="D36" s="271">
        <f t="shared" si="0"/>
        <v>0</v>
      </c>
      <c r="E36" s="269"/>
      <c r="F36" s="268"/>
    </row>
    <row r="37" spans="1:6" s="353" customFormat="1">
      <c r="A37" s="284" t="s">
        <v>1641</v>
      </c>
      <c r="B37" s="267">
        <f>'Sources and Uses Budget'!$C36</f>
        <v>147564</v>
      </c>
      <c r="C37" s="267">
        <f>'Sources and Uses Budget'!$C36</f>
        <v>147564</v>
      </c>
      <c r="D37" s="271"/>
      <c r="E37" s="269"/>
      <c r="F37" s="268"/>
    </row>
    <row r="38" spans="1:6" s="353" customFormat="1">
      <c r="A38" s="155" t="str">
        <f>'Sources and Uses Budget'!A37</f>
        <v>PV System</v>
      </c>
      <c r="B38" s="267">
        <f>'Sources and Uses Budget'!$C37</f>
        <v>497142</v>
      </c>
      <c r="C38" s="267">
        <f>'Sources and Uses Budget'!$C37</f>
        <v>497142</v>
      </c>
      <c r="D38" s="271">
        <f t="shared" si="0"/>
        <v>0</v>
      </c>
      <c r="E38" s="269"/>
      <c r="F38" s="268"/>
    </row>
    <row r="39" spans="1:6" s="353" customFormat="1" ht="13">
      <c r="A39" s="272" t="s">
        <v>143</v>
      </c>
      <c r="B39" s="271">
        <f ca="1">SUM(B30:B38)</f>
        <v>62950270</v>
      </c>
      <c r="C39" s="271">
        <f ca="1">SUM(C30:C38)</f>
        <v>62950270</v>
      </c>
      <c r="D39" s="271">
        <f t="shared" ca="1" si="0"/>
        <v>0</v>
      </c>
      <c r="E39" s="269"/>
      <c r="F39" s="268"/>
    </row>
    <row r="40" spans="1:6" s="353" customFormat="1" ht="13">
      <c r="A40" s="265" t="s">
        <v>144</v>
      </c>
      <c r="B40" s="265"/>
      <c r="C40" s="265"/>
      <c r="D40" s="265"/>
      <c r="E40" s="283"/>
      <c r="F40" s="265"/>
    </row>
    <row r="41" spans="1:6" s="353" customFormat="1">
      <c r="A41" s="270" t="s">
        <v>145</v>
      </c>
      <c r="B41" s="267">
        <f>'Sources and Uses Budget'!$C40</f>
        <v>2528115</v>
      </c>
      <c r="C41" s="267">
        <f>'Sources and Uses Budget'!$C40</f>
        <v>2528115</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2528115</v>
      </c>
      <c r="C43" s="271">
        <f>SUM(C41:C42)</f>
        <v>2528115</v>
      </c>
      <c r="D43" s="271">
        <f t="shared" si="0"/>
        <v>0</v>
      </c>
      <c r="E43" s="269"/>
      <c r="F43" s="268"/>
    </row>
    <row r="44" spans="1:6" s="353" customFormat="1" ht="13">
      <c r="A44" s="272" t="s">
        <v>148</v>
      </c>
      <c r="B44" s="267">
        <f>'Sources and Uses Budget'!$C43</f>
        <v>790476</v>
      </c>
      <c r="C44" s="267">
        <f>'Sources and Uses Budget'!$C43</f>
        <v>790476</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6238275</v>
      </c>
      <c r="C46" s="267">
        <f>'Sources and Uses Budget'!$C45</f>
        <v>6238275</v>
      </c>
      <c r="D46" s="271">
        <f t="shared" si="0"/>
        <v>0</v>
      </c>
      <c r="E46" s="269"/>
      <c r="F46" s="268"/>
    </row>
    <row r="47" spans="1:6" s="353" customFormat="1">
      <c r="A47" s="145" t="s">
        <v>151</v>
      </c>
      <c r="B47" s="267">
        <f>'Sources and Uses Budget'!$C46</f>
        <v>576722</v>
      </c>
      <c r="C47" s="267">
        <f>'Sources and Uses Budget'!$C46</f>
        <v>576722</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193944</v>
      </c>
      <c r="C50" s="267">
        <f>'Sources and Uses Budget'!$C49</f>
        <v>193944</v>
      </c>
      <c r="D50" s="271">
        <f t="shared" si="0"/>
        <v>0</v>
      </c>
      <c r="E50" s="269"/>
      <c r="F50" s="268"/>
    </row>
    <row r="51" spans="1:6" s="353" customFormat="1">
      <c r="A51" s="145" t="s">
        <v>156</v>
      </c>
      <c r="B51" s="267">
        <f>'Sources and Uses Budget'!$C50</f>
        <v>99330</v>
      </c>
      <c r="C51" s="267">
        <f>'Sources and Uses Budget'!$C50</f>
        <v>99330</v>
      </c>
      <c r="D51" s="271">
        <f t="shared" si="0"/>
        <v>0</v>
      </c>
      <c r="E51" s="269"/>
      <c r="F51" s="268"/>
    </row>
    <row r="52" spans="1:6" s="353" customFormat="1">
      <c r="A52" s="284" t="s">
        <v>154</v>
      </c>
      <c r="B52" s="267">
        <f>'Sources and Uses Budget'!$C51</f>
        <v>366500</v>
      </c>
      <c r="C52" s="267">
        <f>'Sources and Uses Budget'!$C51</f>
        <v>366500</v>
      </c>
      <c r="D52" s="271">
        <f t="shared" si="0"/>
        <v>0</v>
      </c>
      <c r="E52" s="269"/>
      <c r="F52" s="268"/>
    </row>
    <row r="53" spans="1:6" s="353" customFormat="1">
      <c r="A53" s="145" t="s">
        <v>155</v>
      </c>
      <c r="B53" s="267">
        <f>'Sources and Uses Budget'!$C52</f>
        <v>1396586</v>
      </c>
      <c r="C53" s="267">
        <f>'Sources and Uses Budget'!$C52</f>
        <v>1396586</v>
      </c>
      <c r="D53" s="271">
        <f t="shared" si="0"/>
        <v>0</v>
      </c>
      <c r="E53" s="269"/>
      <c r="F53" s="268"/>
    </row>
    <row r="54" spans="1:6" s="353" customFormat="1">
      <c r="A54" s="155" t="str">
        <f>'Sources and Uses Budget'!A53</f>
        <v>Predevelopment Loan Costs</v>
      </c>
      <c r="B54" s="267">
        <f>'Sources and Uses Budget'!$C53</f>
        <v>147959</v>
      </c>
      <c r="C54" s="267">
        <f>'Sources and Uses Budget'!$C53</f>
        <v>147959</v>
      </c>
      <c r="D54" s="271">
        <f t="shared" si="0"/>
        <v>0</v>
      </c>
      <c r="E54" s="269"/>
      <c r="F54" s="268"/>
    </row>
    <row r="55" spans="1:6" s="354" customFormat="1" ht="13">
      <c r="A55" s="272" t="s">
        <v>157</v>
      </c>
      <c r="B55" s="274">
        <f>SUM(B46:B54)</f>
        <v>9019316</v>
      </c>
      <c r="C55" s="274">
        <f>SUM(C46:C54)</f>
        <v>9019316</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41030</v>
      </c>
      <c r="C57" s="267">
        <f>'Sources and Uses Budget'!$C56</f>
        <v>41030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66030</v>
      </c>
      <c r="C63" s="271">
        <f>SUM(C57:C62)</f>
        <v>66030</v>
      </c>
      <c r="D63" s="271">
        <f t="shared" si="0"/>
        <v>0</v>
      </c>
      <c r="E63" s="269"/>
      <c r="F63" s="268"/>
    </row>
    <row r="64" spans="1:6" s="353" customFormat="1" ht="13">
      <c r="A64" s="275" t="s">
        <v>302</v>
      </c>
      <c r="B64" s="271">
        <f ca="1">SUM(B9+B12+B14+B15+B17+B26+B28+B39+B43+B44+B55+B63)</f>
        <v>82904305</v>
      </c>
      <c r="C64" s="271">
        <f ca="1">SUM(C9+C12+C14+C15+C17+C26+C28+C39+C43+C44+C55+C63)</f>
        <v>82904305</v>
      </c>
      <c r="D64" s="271">
        <f t="shared" ca="1" si="0"/>
        <v>0</v>
      </c>
      <c r="E64" s="269"/>
      <c r="F64" s="268"/>
    </row>
    <row r="65" spans="1:6" s="353" customFormat="1" ht="24">
      <c r="A65" s="141" t="s">
        <v>1645</v>
      </c>
      <c r="B65" s="265"/>
      <c r="C65" s="265"/>
      <c r="D65" s="265"/>
      <c r="E65" s="283"/>
      <c r="F65" s="265"/>
    </row>
    <row r="66" spans="1:6" s="353" customFormat="1">
      <c r="A66" s="145" t="s">
        <v>171</v>
      </c>
      <c r="B66" s="267">
        <f>'Sources and Uses Budget'!$C65</f>
        <v>118367</v>
      </c>
      <c r="C66" s="267">
        <f>'Sources and Uses Budget'!$C65</f>
        <v>118367</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Owner Legal</v>
      </c>
      <c r="B70" s="267">
        <f>'Sources and Uses Budget'!$C69</f>
        <v>83980</v>
      </c>
      <c r="C70" s="267">
        <f>'Sources and Uses Budget'!$C69</f>
        <v>83980</v>
      </c>
      <c r="D70" s="271">
        <f t="shared" si="0"/>
        <v>0</v>
      </c>
      <c r="E70" s="269"/>
      <c r="F70" s="268"/>
    </row>
    <row r="71" spans="1:6" s="353" customFormat="1">
      <c r="A71" s="149" t="s">
        <v>1646</v>
      </c>
      <c r="B71" s="271">
        <f>SUM(B66:B70)</f>
        <v>202347</v>
      </c>
      <c r="C71" s="271">
        <f>SUM(C66:C70)</f>
        <v>202347</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498765</v>
      </c>
      <c r="C76" s="267">
        <f>'Sources and Uses Budget'!$C75</f>
        <v>498765</v>
      </c>
      <c r="D76" s="271">
        <f t="shared" si="0"/>
        <v>0</v>
      </c>
      <c r="E76" s="269"/>
      <c r="F76" s="268"/>
    </row>
    <row r="77" spans="1:6" s="353" customFormat="1">
      <c r="A77" s="273" t="s">
        <v>34</v>
      </c>
      <c r="B77" s="267">
        <f>'Sources and Uses Budget'!$C76</f>
        <v>200000</v>
      </c>
      <c r="C77" s="267">
        <f>'Sources and Uses Budget'!$C76</f>
        <v>200000</v>
      </c>
      <c r="D77" s="271">
        <f t="shared" si="0"/>
        <v>0</v>
      </c>
      <c r="E77" s="269"/>
      <c r="F77" s="268"/>
    </row>
    <row r="78" spans="1:6" s="353" customFormat="1" ht="13">
      <c r="A78" s="272" t="s">
        <v>607</v>
      </c>
      <c r="B78" s="271">
        <f>SUM(B73:B77)</f>
        <v>698765</v>
      </c>
      <c r="C78" s="271">
        <f>SUM(C73:C77)</f>
        <v>698765</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3825915</v>
      </c>
      <c r="C80" s="267">
        <f>'Sources and Uses Budget'!$C79</f>
        <v>3825915</v>
      </c>
      <c r="D80" s="271">
        <f t="shared" si="1"/>
        <v>0</v>
      </c>
      <c r="E80" s="269"/>
      <c r="F80" s="268"/>
    </row>
    <row r="81" spans="1:6" s="353" customFormat="1">
      <c r="A81" s="511" t="s">
        <v>58</v>
      </c>
      <c r="B81" s="267">
        <f>'Sources and Uses Budget'!$C80</f>
        <v>493197</v>
      </c>
      <c r="C81" s="267">
        <f>'Sources and Uses Budget'!$C80</f>
        <v>493197</v>
      </c>
      <c r="D81" s="271">
        <f>C81-B81</f>
        <v>0</v>
      </c>
      <c r="E81" s="269"/>
      <c r="F81" s="268"/>
    </row>
    <row r="82" spans="1:6" s="353" customFormat="1" ht="13">
      <c r="A82" s="272" t="s">
        <v>1210</v>
      </c>
      <c r="B82" s="271">
        <f>SUM(B80:B81)</f>
        <v>4319112</v>
      </c>
      <c r="C82" s="271">
        <f>SUM(C80:C81)</f>
        <v>4319112</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134609</v>
      </c>
      <c r="C84" s="267">
        <f>'Sources and Uses Budget'!$C83</f>
        <v>134609</v>
      </c>
      <c r="D84" s="271">
        <f t="shared" si="1"/>
        <v>0</v>
      </c>
      <c r="E84" s="269"/>
      <c r="F84" s="268"/>
    </row>
    <row r="85" spans="1:6" s="353" customFormat="1">
      <c r="A85" s="270" t="s">
        <v>768</v>
      </c>
      <c r="B85" s="267">
        <f>'Sources and Uses Budget'!$C84</f>
        <v>740938</v>
      </c>
      <c r="C85" s="267">
        <f>'Sources and Uses Budget'!$C84</f>
        <v>740938</v>
      </c>
      <c r="D85" s="271">
        <f t="shared" si="1"/>
        <v>0</v>
      </c>
      <c r="E85" s="269"/>
      <c r="F85" s="268"/>
    </row>
    <row r="86" spans="1:6" s="353" customFormat="1">
      <c r="A86" s="270" t="s">
        <v>769</v>
      </c>
      <c r="B86" s="267">
        <f>'Sources and Uses Budget'!$C85</f>
        <v>4516457</v>
      </c>
      <c r="C86" s="267">
        <f>'Sources and Uses Budget'!$C85</f>
        <v>4516457</v>
      </c>
      <c r="D86" s="271">
        <f t="shared" si="1"/>
        <v>0</v>
      </c>
      <c r="E86" s="269"/>
      <c r="F86" s="268"/>
    </row>
    <row r="87" spans="1:6" s="353" customFormat="1">
      <c r="A87" s="270" t="s">
        <v>770</v>
      </c>
      <c r="B87" s="267">
        <f>'Sources and Uses Budget'!$C86</f>
        <v>1294709</v>
      </c>
      <c r="C87" s="267">
        <f>'Sources and Uses Budget'!$C86</f>
        <v>1294709</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205500</v>
      </c>
      <c r="C89" s="267">
        <f>'Sources and Uses Budget'!$C88</f>
        <v>205500</v>
      </c>
      <c r="D89" s="271">
        <f t="shared" si="1"/>
        <v>0</v>
      </c>
      <c r="E89" s="269"/>
      <c r="F89" s="268"/>
    </row>
    <row r="90" spans="1:6" s="353" customFormat="1">
      <c r="A90" s="270" t="s">
        <v>773</v>
      </c>
      <c r="B90" s="267">
        <f>'Sources and Uses Budget'!$C89</f>
        <v>120000</v>
      </c>
      <c r="C90" s="267">
        <f>'Sources and Uses Budget'!$C89</f>
        <v>120000</v>
      </c>
      <c r="D90" s="271">
        <f t="shared" si="1"/>
        <v>0</v>
      </c>
      <c r="E90" s="269"/>
      <c r="F90" s="268"/>
    </row>
    <row r="91" spans="1:6" s="353" customFormat="1">
      <c r="A91" s="270" t="s">
        <v>774</v>
      </c>
      <c r="B91" s="267">
        <f>'Sources and Uses Budget'!$C90</f>
        <v>12600</v>
      </c>
      <c r="C91" s="267">
        <f>'Sources and Uses Budget'!$C90</f>
        <v>12600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4468</v>
      </c>
      <c r="C93" s="267">
        <f>'Sources and Uses Budget'!$C92</f>
        <v>4468</v>
      </c>
      <c r="D93" s="271">
        <f t="shared" si="1"/>
        <v>0</v>
      </c>
      <c r="E93" s="269"/>
      <c r="F93" s="268"/>
    </row>
    <row r="94" spans="1:6" s="353" customFormat="1">
      <c r="A94" s="273" t="s">
        <v>34</v>
      </c>
      <c r="B94" s="267">
        <f>'Sources and Uses Budget'!$C93</f>
        <v>54252</v>
      </c>
      <c r="C94" s="267">
        <f>'Sources and Uses Budget'!$C93</f>
        <v>54252</v>
      </c>
      <c r="D94" s="271">
        <f t="shared" si="1"/>
        <v>0</v>
      </c>
      <c r="E94" s="269"/>
      <c r="F94" s="268"/>
    </row>
    <row r="95" spans="1:6" s="353" customFormat="1">
      <c r="A95" s="273" t="s">
        <v>34</v>
      </c>
      <c r="B95" s="267">
        <f>'Sources and Uses Budget'!$C94</f>
        <v>394557</v>
      </c>
      <c r="C95" s="267">
        <f>'Sources and Uses Budget'!$C94</f>
        <v>394557</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7478090</v>
      </c>
      <c r="C97" s="271">
        <f>SUM(C84:C96)</f>
        <v>7478090</v>
      </c>
      <c r="D97" s="271">
        <f t="shared" si="1"/>
        <v>0</v>
      </c>
      <c r="E97" s="269"/>
      <c r="F97" s="268"/>
    </row>
    <row r="98" spans="1:6" s="353" customFormat="1" ht="13">
      <c r="A98" s="272" t="s">
        <v>776</v>
      </c>
      <c r="B98" s="271">
        <f ca="1">SUM(B64+B71+B78+B82+B97)</f>
        <v>95602619</v>
      </c>
      <c r="C98" s="271">
        <f ca="1">SUM(C64+C71+C78+C82+C97)</f>
        <v>95602619</v>
      </c>
      <c r="D98" s="271">
        <f t="shared" ca="1" si="1"/>
        <v>0</v>
      </c>
      <c r="E98" s="269"/>
      <c r="F98" s="268"/>
    </row>
    <row r="99" spans="1:6" s="353" customFormat="1" ht="13">
      <c r="A99" s="265" t="s">
        <v>777</v>
      </c>
      <c r="B99" s="265"/>
      <c r="C99" s="265"/>
      <c r="D99" s="265"/>
      <c r="E99" s="283"/>
      <c r="F99" s="265"/>
    </row>
    <row r="100" spans="1:6" s="353" customFormat="1">
      <c r="A100" s="145" t="s">
        <v>778</v>
      </c>
      <c r="B100" s="267">
        <f>'Sources and Uses Budget'!$C99</f>
        <v>3452378</v>
      </c>
      <c r="C100" s="267">
        <f>'Sources and Uses Budget'!$C99</f>
        <v>3452378</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3452378</v>
      </c>
      <c r="C105" s="271">
        <f>SUM(C100:C104)</f>
        <v>3452378</v>
      </c>
      <c r="D105" s="271">
        <f t="shared" si="1"/>
        <v>0</v>
      </c>
      <c r="E105" s="269"/>
      <c r="F105" s="268"/>
    </row>
    <row r="106" spans="1:6" s="353" customFormat="1" ht="13">
      <c r="A106" s="272" t="s">
        <v>781</v>
      </c>
      <c r="B106" s="274">
        <f ca="1">SUM(B98+B105)</f>
        <v>99054997</v>
      </c>
      <c r="C106" s="274">
        <f ca="1">SUM(C98+C105)</f>
        <v>99054997</v>
      </c>
      <c r="D106" s="271">
        <f t="shared" ca="1"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5" t="s">
        <v>1870</v>
      </c>
      <c r="B1" s="1276"/>
      <c r="C1" s="1276"/>
      <c r="D1" s="1276"/>
      <c r="E1" s="1276"/>
      <c r="F1" s="1276"/>
      <c r="G1" s="1276"/>
      <c r="H1" s="1276"/>
      <c r="I1" s="1276"/>
      <c r="J1" s="1276"/>
    </row>
    <row r="2" spans="1:10" ht="15.5">
      <c r="A2" s="1279" t="s">
        <v>1269</v>
      </c>
      <c r="B2" s="1280"/>
      <c r="C2" s="1280"/>
      <c r="D2" s="1280"/>
      <c r="E2" s="1280"/>
      <c r="F2" s="1280"/>
      <c r="G2" s="1280"/>
      <c r="H2" s="1280"/>
      <c r="I2" s="1280"/>
      <c r="J2" s="1280"/>
    </row>
    <row r="3" spans="1:10" ht="12.5"/>
    <row r="4" spans="1:10" ht="12.75" customHeight="1">
      <c r="A4" s="1277" t="s">
        <v>2049</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81" t="s">
        <v>1875</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0" t="s">
        <v>1190</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1191</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8" t="s">
        <v>1871</v>
      </c>
      <c r="B71" s="1278"/>
      <c r="C71" s="1278"/>
      <c r="D71" s="1278"/>
      <c r="E71" s="1278"/>
      <c r="F71" s="1278"/>
      <c r="G71" s="1278"/>
      <c r="H71" s="1278"/>
      <c r="I71" s="1278"/>
    </row>
    <row r="72" spans="1:9" ht="12.5">
      <c r="A72" s="1270" t="s">
        <v>2047</v>
      </c>
      <c r="B72" s="1270"/>
      <c r="C72" s="1270"/>
      <c r="D72" s="1270"/>
      <c r="E72" s="1270"/>
    </row>
    <row r="73" spans="1:9" ht="12.5">
      <c r="A73" s="1270" t="s">
        <v>2048</v>
      </c>
      <c r="B73" s="1270"/>
      <c r="C73" s="1270"/>
      <c r="D73" s="1270"/>
      <c r="E73" s="1270"/>
    </row>
    <row r="74" spans="1:9" ht="12.5">
      <c r="A74" s="1270" t="s">
        <v>1872</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28" sqref="F1128"/>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2" t="s">
        <v>2462</v>
      </c>
      <c r="B2" s="1332"/>
      <c r="C2" s="1332"/>
      <c r="D2" s="1332"/>
      <c r="E2" s="1332"/>
      <c r="F2" s="1332"/>
      <c r="G2" s="1332"/>
      <c r="H2" s="1332"/>
      <c r="I2" s="1332"/>
    </row>
    <row r="3" spans="1:13">
      <c r="A3" s="1320" t="s">
        <v>2221</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2220</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1102</v>
      </c>
      <c r="B9" s="1309"/>
      <c r="C9" s="1309"/>
      <c r="D9" s="1309"/>
      <c r="E9" s="1309"/>
      <c r="F9" s="1309"/>
      <c r="G9" s="1309"/>
      <c r="H9" s="1029"/>
      <c r="I9" s="1030"/>
    </row>
    <row r="10" spans="1:13">
      <c r="A10" s="483"/>
      <c r="B10" s="483"/>
      <c r="E10" s="405"/>
    </row>
    <row r="11" spans="1:13" ht="13.75" customHeight="1">
      <c r="C11" s="483"/>
      <c r="D11" s="1322" t="s">
        <v>1101</v>
      </c>
      <c r="E11" s="1322"/>
      <c r="F11" s="1322"/>
    </row>
    <row r="12" spans="1:13">
      <c r="C12" s="483"/>
      <c r="D12" s="1322"/>
      <c r="E12" s="1322"/>
      <c r="F12" s="1322"/>
    </row>
    <row r="13" spans="1:13">
      <c r="A13" s="484"/>
      <c r="B13" s="484"/>
      <c r="C13" s="484"/>
      <c r="D13" s="1300" t="s">
        <v>1091</v>
      </c>
      <c r="E13" s="1300"/>
      <c r="F13" s="1300"/>
      <c r="M13" s="96"/>
    </row>
    <row r="14" spans="1:13">
      <c r="A14" s="484"/>
      <c r="B14" s="484"/>
      <c r="C14" s="484"/>
      <c r="D14" s="477"/>
      <c r="L14" s="313"/>
    </row>
    <row r="15" spans="1:13">
      <c r="A15" s="485"/>
      <c r="B15" s="486" t="s">
        <v>2761</v>
      </c>
      <c r="C15" s="484"/>
      <c r="D15" s="1302" t="s">
        <v>1923</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1921</v>
      </c>
      <c r="F18" s="446"/>
      <c r="I18" s="491"/>
    </row>
    <row r="19" spans="1:9">
      <c r="A19" s="484"/>
      <c r="B19" s="484"/>
      <c r="C19" s="484"/>
      <c r="I19" s="491"/>
    </row>
    <row r="20" spans="1:9">
      <c r="A20" s="485"/>
      <c r="B20" s="486" t="s">
        <v>2761</v>
      </c>
      <c r="D20" s="1302" t="s">
        <v>1924</v>
      </c>
      <c r="E20" s="1302"/>
      <c r="F20" s="1302"/>
      <c r="I20" s="491"/>
    </row>
    <row r="21" spans="1:9">
      <c r="A21" s="485"/>
      <c r="D21" s="1302"/>
      <c r="E21" s="1302"/>
      <c r="F21" s="1302"/>
      <c r="I21" s="491"/>
    </row>
    <row r="22" spans="1:9">
      <c r="A22" s="485"/>
      <c r="D22" s="393"/>
      <c r="E22" s="96" t="s">
        <v>1920</v>
      </c>
      <c r="F22" s="393"/>
      <c r="I22" s="491"/>
    </row>
    <row r="23" spans="1:9">
      <c r="A23" s="485"/>
      <c r="B23" s="485"/>
      <c r="D23" s="447"/>
      <c r="I23" s="491"/>
    </row>
    <row r="24" spans="1:9">
      <c r="A24" s="485"/>
      <c r="B24" s="486" t="s">
        <v>2762</v>
      </c>
      <c r="D24" s="1302" t="s">
        <v>1092</v>
      </c>
      <c r="E24" s="1302"/>
      <c r="F24" s="1302"/>
      <c r="I24" s="491"/>
    </row>
    <row r="25" spans="1:9">
      <c r="A25" s="485"/>
      <c r="B25" s="485"/>
      <c r="D25" s="1302"/>
      <c r="E25" s="1302"/>
      <c r="F25" s="1302"/>
      <c r="I25" s="491"/>
    </row>
    <row r="26" spans="1:9">
      <c r="I26" s="491"/>
    </row>
    <row r="27" spans="1:9">
      <c r="A27" s="485"/>
      <c r="B27" s="486" t="s">
        <v>2761</v>
      </c>
      <c r="D27" s="1302" t="s">
        <v>2050</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2762</v>
      </c>
      <c r="D33" s="1302" t="s">
        <v>2051</v>
      </c>
      <c r="E33" s="1302"/>
      <c r="F33" s="1302"/>
      <c r="I33" s="491"/>
    </row>
    <row r="34" spans="1:9">
      <c r="D34" s="1302"/>
      <c r="E34" s="1302"/>
      <c r="F34" s="1302"/>
      <c r="I34" s="491"/>
    </row>
    <row r="35" spans="1:9">
      <c r="A35" s="485"/>
      <c r="B35" s="485"/>
      <c r="D35" s="448"/>
      <c r="I35" s="491"/>
    </row>
    <row r="36" spans="1:9" ht="14.5" customHeight="1">
      <c r="A36" s="485"/>
      <c r="B36" s="486" t="s">
        <v>2762</v>
      </c>
      <c r="D36" s="1302" t="s">
        <v>1215</v>
      </c>
      <c r="E36" s="1302"/>
      <c r="F36" s="1302"/>
      <c r="I36" s="491"/>
    </row>
    <row r="37" spans="1:9">
      <c r="A37" s="485"/>
      <c r="B37" s="485"/>
      <c r="D37" s="1302"/>
      <c r="E37" s="1302"/>
      <c r="F37" s="1302"/>
      <c r="I37" s="491"/>
    </row>
    <row r="38" spans="1:9">
      <c r="A38" s="485"/>
      <c r="B38" s="485"/>
      <c r="D38" s="1302"/>
      <c r="E38" s="1302"/>
      <c r="F38" s="1302"/>
      <c r="I38" s="491"/>
    </row>
    <row r="39" spans="1:9">
      <c r="A39" s="485"/>
      <c r="B39" s="485"/>
      <c r="D39" s="1302"/>
      <c r="E39" s="1302"/>
      <c r="F39" s="1302"/>
      <c r="I39" s="491"/>
    </row>
    <row r="40" spans="1:9">
      <c r="A40" s="485"/>
      <c r="B40" s="485"/>
      <c r="I40" s="491"/>
    </row>
    <row r="41" spans="1:9">
      <c r="A41" s="485"/>
      <c r="B41" s="486" t="s">
        <v>2762</v>
      </c>
      <c r="D41" s="1302" t="s">
        <v>1093</v>
      </c>
      <c r="E41" s="1302"/>
      <c r="F41" s="1302"/>
      <c r="I41" s="491"/>
    </row>
    <row r="42" spans="1:9">
      <c r="A42" s="485"/>
      <c r="B42" s="485"/>
      <c r="D42" s="1302"/>
      <c r="E42" s="1302"/>
      <c r="F42" s="1302"/>
      <c r="I42" s="491"/>
    </row>
    <row r="43" spans="1:9">
      <c r="A43" s="485"/>
      <c r="B43" s="485"/>
      <c r="D43" s="1302"/>
      <c r="E43" s="1302"/>
      <c r="F43" s="1302"/>
      <c r="I43" s="491"/>
    </row>
    <row r="44" spans="1:9">
      <c r="A44" s="485"/>
      <c r="B44" s="485"/>
      <c r="D44" s="1302"/>
      <c r="E44" s="1302"/>
      <c r="F44" s="1302"/>
      <c r="I44" s="491"/>
    </row>
    <row r="45" spans="1:9">
      <c r="A45" s="485"/>
      <c r="B45" s="485"/>
      <c r="D45" s="1302"/>
      <c r="E45" s="1302"/>
      <c r="F45" s="1302"/>
      <c r="I45" s="491"/>
    </row>
    <row r="46" spans="1:9">
      <c r="A46" s="485"/>
      <c r="B46" s="485"/>
      <c r="D46" s="446"/>
      <c r="E46" s="446"/>
      <c r="F46" s="446"/>
      <c r="I46" s="491"/>
    </row>
    <row r="47" spans="1:9">
      <c r="A47" s="485"/>
      <c r="B47" s="486" t="s">
        <v>2762</v>
      </c>
      <c r="D47" s="1302" t="s">
        <v>1094</v>
      </c>
      <c r="E47" s="1302"/>
      <c r="F47" s="1302"/>
      <c r="I47" s="491"/>
    </row>
    <row r="48" spans="1:9">
      <c r="A48" s="485"/>
      <c r="B48" s="485"/>
      <c r="D48" s="1302"/>
      <c r="E48" s="1302"/>
      <c r="F48" s="1302"/>
      <c r="I48" s="491"/>
    </row>
    <row r="49" spans="1:9">
      <c r="A49" s="485"/>
      <c r="B49" s="485"/>
      <c r="D49" s="1302"/>
      <c r="E49" s="1302"/>
      <c r="F49" s="1302"/>
      <c r="I49" s="491"/>
    </row>
    <row r="50" spans="1:9" ht="23.25" customHeight="1">
      <c r="A50" s="485"/>
      <c r="B50" s="485"/>
      <c r="D50" s="1302"/>
      <c r="E50" s="1302"/>
      <c r="F50" s="1302"/>
      <c r="I50" s="491"/>
    </row>
    <row r="51" spans="1:9">
      <c r="A51" s="485"/>
      <c r="B51" s="485"/>
      <c r="D51" s="447"/>
      <c r="I51" s="491"/>
    </row>
    <row r="52" spans="1:9" ht="14.5" customHeight="1">
      <c r="A52" s="485"/>
      <c r="B52" s="486" t="s">
        <v>2762</v>
      </c>
      <c r="D52" s="1302" t="s">
        <v>1095</v>
      </c>
      <c r="E52" s="1302"/>
      <c r="F52" s="1302"/>
      <c r="I52" s="491"/>
    </row>
    <row r="53" spans="1:9">
      <c r="A53" s="485"/>
      <c r="B53" s="485"/>
      <c r="D53" s="1302"/>
      <c r="E53" s="1302"/>
      <c r="F53" s="1302"/>
      <c r="I53" s="491"/>
    </row>
    <row r="54" spans="1:9">
      <c r="A54" s="485"/>
      <c r="B54" s="485"/>
      <c r="D54" s="1302"/>
      <c r="E54" s="1302"/>
      <c r="F54" s="1302"/>
      <c r="I54" s="491"/>
    </row>
    <row r="55" spans="1:9">
      <c r="A55" s="485"/>
      <c r="B55" s="485"/>
      <c r="I55" s="491"/>
    </row>
    <row r="56" spans="1:9">
      <c r="A56" s="485"/>
      <c r="B56" s="486" t="s">
        <v>2761</v>
      </c>
      <c r="D56" s="1325" t="s">
        <v>1096</v>
      </c>
      <c r="E56" s="1325"/>
      <c r="F56" s="1325"/>
      <c r="I56" s="491"/>
    </row>
    <row r="57" spans="1:9">
      <c r="A57" s="485"/>
      <c r="B57" s="485"/>
      <c r="D57" s="1325"/>
      <c r="E57" s="1325"/>
      <c r="F57" s="1325"/>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2762</v>
      </c>
      <c r="D61" s="1302" t="s">
        <v>1097</v>
      </c>
      <c r="E61" s="1302"/>
      <c r="F61" s="1302"/>
      <c r="I61" s="491"/>
    </row>
    <row r="62" spans="1:9">
      <c r="D62" s="1302"/>
      <c r="E62" s="1302"/>
      <c r="F62" s="1302"/>
      <c r="I62" s="491"/>
    </row>
    <row r="63" spans="1:9">
      <c r="D63" s="1302"/>
      <c r="E63" s="1302"/>
      <c r="F63" s="1302"/>
      <c r="I63" s="491"/>
    </row>
    <row r="64" spans="1:9">
      <c r="I64" s="491"/>
    </row>
    <row r="65" spans="1:9">
      <c r="A65" s="485"/>
      <c r="B65" s="486" t="s">
        <v>2762</v>
      </c>
      <c r="D65" s="1302" t="s">
        <v>1098</v>
      </c>
      <c r="E65" s="1302"/>
      <c r="F65" s="1302"/>
      <c r="I65" s="491"/>
    </row>
    <row r="66" spans="1:9">
      <c r="D66" s="1302"/>
      <c r="E66" s="1302"/>
      <c r="F66" s="1302"/>
      <c r="I66" s="491"/>
    </row>
    <row r="67" spans="1:9">
      <c r="I67" s="491"/>
    </row>
    <row r="68" spans="1:9">
      <c r="A68" s="485"/>
      <c r="B68" s="486" t="s">
        <v>2762</v>
      </c>
      <c r="D68" s="1302" t="s">
        <v>1099</v>
      </c>
      <c r="E68" s="1302"/>
      <c r="F68" s="1302"/>
      <c r="I68" s="491"/>
    </row>
    <row r="69" spans="1:9">
      <c r="D69" s="1302"/>
      <c r="E69" s="1302"/>
      <c r="F69" s="1302"/>
      <c r="I69" s="491"/>
    </row>
    <row r="70" spans="1:9">
      <c r="D70" s="1302"/>
      <c r="E70" s="1302"/>
      <c r="F70" s="1302"/>
      <c r="I70" s="491"/>
    </row>
    <row r="71" spans="1:9">
      <c r="I71" s="491"/>
    </row>
    <row r="72" spans="1:9">
      <c r="A72" s="485"/>
      <c r="B72" s="486" t="s">
        <v>2762</v>
      </c>
      <c r="D72" s="1302" t="s">
        <v>1100</v>
      </c>
      <c r="E72" s="1302"/>
      <c r="F72" s="1302"/>
      <c r="I72" s="491"/>
    </row>
    <row r="73" spans="1:9">
      <c r="D73" s="1302"/>
      <c r="E73" s="1302"/>
      <c r="F73" s="1302"/>
      <c r="I73" s="491"/>
    </row>
    <row r="74" spans="1:9">
      <c r="A74" s="485"/>
      <c r="B74" s="485"/>
      <c r="D74" s="447"/>
      <c r="I74" s="491"/>
    </row>
    <row r="75" spans="1:9">
      <c r="A75" s="1309" t="s">
        <v>1045</v>
      </c>
      <c r="B75" s="1309"/>
      <c r="C75" s="1309"/>
      <c r="D75" s="1309"/>
      <c r="E75" s="1309"/>
      <c r="F75" s="1309"/>
      <c r="G75" s="1309"/>
      <c r="H75" s="1029"/>
      <c r="I75" s="1155"/>
    </row>
    <row r="76" spans="1:9">
      <c r="I76" s="491"/>
    </row>
    <row r="77" spans="1:9">
      <c r="C77" s="487"/>
      <c r="D77" s="1318" t="s">
        <v>1103</v>
      </c>
      <c r="E77" s="1318"/>
      <c r="F77" s="1318"/>
      <c r="I77" s="491"/>
    </row>
    <row r="78" spans="1:9">
      <c r="A78" s="447"/>
      <c r="B78" s="447"/>
      <c r="D78" s="1302" t="s">
        <v>1118</v>
      </c>
      <c r="E78" s="1302"/>
      <c r="F78" s="1302"/>
      <c r="I78" s="491"/>
    </row>
    <row r="79" spans="1:9">
      <c r="A79" s="447"/>
      <c r="B79" s="447"/>
      <c r="I79" s="491"/>
    </row>
    <row r="80" spans="1:9" ht="13.75" customHeight="1">
      <c r="A80" s="485"/>
      <c r="B80" s="486" t="s">
        <v>2761</v>
      </c>
      <c r="D80" s="1302" t="s">
        <v>1246</v>
      </c>
      <c r="E80" s="1302"/>
      <c r="F80" s="1302"/>
      <c r="I80" s="491"/>
    </row>
    <row r="81" spans="1:9">
      <c r="A81" s="485"/>
      <c r="B81" s="485"/>
      <c r="D81" s="1302"/>
      <c r="E81" s="1302"/>
      <c r="F81" s="1302"/>
      <c r="I81" s="491"/>
    </row>
    <row r="82" spans="1:9">
      <c r="A82" s="485"/>
      <c r="B82" s="485"/>
      <c r="D82" s="1302"/>
      <c r="E82" s="1302"/>
      <c r="F82" s="1302"/>
      <c r="I82" s="491"/>
    </row>
    <row r="83" spans="1:9">
      <c r="A83" s="485"/>
      <c r="B83" s="485"/>
      <c r="D83" s="1302"/>
      <c r="E83" s="1302"/>
      <c r="F83" s="1302"/>
      <c r="I83" s="491"/>
    </row>
    <row r="84" spans="1:9">
      <c r="A84" s="485"/>
      <c r="B84" s="485"/>
      <c r="D84" s="1302"/>
      <c r="E84" s="1302"/>
      <c r="F84" s="1302"/>
      <c r="I84" s="491"/>
    </row>
    <row r="85" spans="1:9">
      <c r="A85" s="485"/>
      <c r="B85" s="485"/>
      <c r="D85" s="1302"/>
      <c r="E85" s="1302"/>
      <c r="F85" s="1302"/>
      <c r="I85" s="491"/>
    </row>
    <row r="86" spans="1:9">
      <c r="A86" s="485"/>
      <c r="B86" s="485"/>
      <c r="D86" s="1302"/>
      <c r="E86" s="1302"/>
      <c r="F86" s="1302"/>
      <c r="I86" s="491"/>
    </row>
    <row r="87" spans="1:9">
      <c r="A87" s="485"/>
      <c r="B87" s="485"/>
      <c r="D87" s="1302"/>
      <c r="E87" s="1302"/>
      <c r="F87" s="1302"/>
      <c r="I87" s="491"/>
    </row>
    <row r="88" spans="1:9">
      <c r="A88" s="485"/>
      <c r="B88" s="485"/>
      <c r="D88" s="386"/>
      <c r="E88" s="386"/>
      <c r="F88" s="386"/>
      <c r="I88" s="491"/>
    </row>
    <row r="89" spans="1:9" ht="15" customHeight="1">
      <c r="A89" s="485"/>
      <c r="B89" s="486" t="s">
        <v>2761</v>
      </c>
      <c r="D89" s="1302" t="s">
        <v>1743</v>
      </c>
      <c r="E89" s="1302"/>
      <c r="F89" s="1302"/>
      <c r="I89" s="491"/>
    </row>
    <row r="90" spans="1:9">
      <c r="A90" s="485"/>
      <c r="B90" s="485"/>
      <c r="D90" s="1302"/>
      <c r="E90" s="1302"/>
      <c r="F90" s="1302"/>
      <c r="I90" s="491"/>
    </row>
    <row r="91" spans="1:9">
      <c r="A91" s="485"/>
      <c r="B91" s="485"/>
      <c r="D91" s="446"/>
      <c r="E91" s="446"/>
      <c r="F91" s="446"/>
      <c r="I91" s="491"/>
    </row>
    <row r="92" spans="1:9">
      <c r="A92" s="485"/>
      <c r="B92" s="486" t="s">
        <v>2762</v>
      </c>
      <c r="D92" s="1302" t="s">
        <v>1746</v>
      </c>
      <c r="E92" s="1302"/>
      <c r="F92" s="1302"/>
      <c r="I92" s="491"/>
    </row>
    <row r="93" spans="1:9">
      <c r="A93" s="485"/>
      <c r="B93" s="485"/>
      <c r="D93" s="1302"/>
      <c r="E93" s="1302"/>
      <c r="F93" s="1302"/>
      <c r="I93" s="491"/>
    </row>
    <row r="94" spans="1:9">
      <c r="A94" s="485"/>
      <c r="B94" s="485"/>
      <c r="D94" s="1302"/>
      <c r="E94" s="1302"/>
      <c r="F94" s="1302"/>
      <c r="I94" s="491"/>
    </row>
    <row r="95" spans="1:9">
      <c r="A95" s="485"/>
      <c r="B95" s="485"/>
      <c r="D95" s="446"/>
      <c r="E95" s="446"/>
      <c r="F95" s="446"/>
      <c r="I95" s="491"/>
    </row>
    <row r="96" spans="1:9">
      <c r="A96" s="485"/>
      <c r="B96" s="486" t="s">
        <v>2761</v>
      </c>
      <c r="D96" s="1302" t="s">
        <v>1745</v>
      </c>
      <c r="E96" s="1302"/>
      <c r="F96" s="1302"/>
      <c r="I96" s="491"/>
    </row>
    <row r="97" spans="1:9" s="988" customFormat="1">
      <c r="A97" s="986"/>
      <c r="B97" s="986"/>
      <c r="C97" s="987"/>
      <c r="D97" s="1302"/>
      <c r="E97" s="1302"/>
      <c r="F97" s="1302"/>
      <c r="I97" s="1156"/>
    </row>
    <row r="98" spans="1:9">
      <c r="A98" s="485"/>
      <c r="B98" s="485"/>
      <c r="D98" s="393"/>
      <c r="E98" s="313" t="s">
        <v>1925</v>
      </c>
      <c r="F98" s="446"/>
      <c r="I98" s="491"/>
    </row>
    <row r="99" spans="1:9">
      <c r="A99" s="485"/>
      <c r="B99" s="485"/>
      <c r="D99" s="386"/>
      <c r="E99" s="386"/>
      <c r="F99" s="386"/>
      <c r="I99" s="491"/>
    </row>
    <row r="100" spans="1:9">
      <c r="A100" s="485"/>
      <c r="B100" s="486" t="s">
        <v>2762</v>
      </c>
      <c r="D100" s="1302" t="s">
        <v>1744</v>
      </c>
      <c r="E100" s="1302"/>
      <c r="F100" s="1302"/>
      <c r="I100" s="491"/>
    </row>
    <row r="101" spans="1:9">
      <c r="A101" s="485"/>
      <c r="B101" s="485"/>
      <c r="D101" s="1302"/>
      <c r="E101" s="1302"/>
      <c r="F101" s="1302"/>
      <c r="I101" s="491"/>
    </row>
    <row r="102" spans="1:9">
      <c r="A102" s="485"/>
      <c r="B102" s="485"/>
      <c r="D102" s="446"/>
      <c r="E102" s="446"/>
      <c r="F102" s="446"/>
      <c r="I102" s="491"/>
    </row>
    <row r="103" spans="1:9" ht="14.5" customHeight="1">
      <c r="A103" s="485"/>
      <c r="B103" s="486" t="s">
        <v>2762</v>
      </c>
      <c r="D103" s="1302" t="s">
        <v>1195</v>
      </c>
      <c r="E103" s="1302"/>
      <c r="F103" s="1302"/>
      <c r="I103" s="491"/>
    </row>
    <row r="104" spans="1:9">
      <c r="A104" s="485"/>
      <c r="B104" s="485"/>
      <c r="D104" s="1302"/>
      <c r="E104" s="1302"/>
      <c r="F104" s="1302"/>
      <c r="I104" s="491"/>
    </row>
    <row r="105" spans="1:9">
      <c r="A105" s="485"/>
      <c r="B105" s="485"/>
      <c r="D105" s="1302"/>
      <c r="E105" s="1302"/>
      <c r="F105" s="1302"/>
      <c r="I105" s="491"/>
    </row>
    <row r="106" spans="1:9">
      <c r="A106" s="485"/>
      <c r="B106" s="485"/>
      <c r="D106" s="1302"/>
      <c r="E106" s="1302"/>
      <c r="F106" s="1302"/>
      <c r="I106" s="491"/>
    </row>
    <row r="107" spans="1:9">
      <c r="A107" s="485"/>
      <c r="B107" s="485"/>
      <c r="D107" s="1302"/>
      <c r="E107" s="1302"/>
      <c r="F107" s="1302"/>
      <c r="I107" s="491"/>
    </row>
    <row r="108" spans="1:9">
      <c r="A108" s="485"/>
      <c r="B108" s="485"/>
      <c r="D108" s="1302"/>
      <c r="E108" s="1302"/>
      <c r="F108" s="1302"/>
      <c r="I108" s="491"/>
    </row>
    <row r="109" spans="1:9">
      <c r="A109" s="485"/>
      <c r="B109" s="485"/>
      <c r="D109" s="1302"/>
      <c r="E109" s="1302"/>
      <c r="F109" s="1302"/>
      <c r="I109" s="491"/>
    </row>
    <row r="110" spans="1:9">
      <c r="A110" s="485"/>
      <c r="B110" s="485"/>
      <c r="D110" s="1302"/>
      <c r="E110" s="1302"/>
      <c r="F110" s="1302"/>
      <c r="I110" s="491"/>
    </row>
    <row r="111" spans="1:9">
      <c r="A111" s="485"/>
      <c r="B111" s="485"/>
      <c r="D111" s="1302"/>
      <c r="E111" s="1302"/>
      <c r="F111" s="1302"/>
      <c r="I111" s="491"/>
    </row>
    <row r="112" spans="1:9">
      <c r="A112" s="485"/>
      <c r="B112" s="485"/>
      <c r="D112" s="1302"/>
      <c r="E112" s="1302"/>
      <c r="F112" s="1302"/>
      <c r="I112" s="491"/>
    </row>
    <row r="113" spans="1:9">
      <c r="A113" s="485"/>
      <c r="B113" s="485"/>
      <c r="D113" s="1302"/>
      <c r="E113" s="1302"/>
      <c r="F113" s="1302"/>
      <c r="I113" s="491"/>
    </row>
    <row r="114" spans="1:9">
      <c r="A114" s="485"/>
      <c r="B114" s="485"/>
      <c r="D114" s="1302"/>
      <c r="E114" s="1302"/>
      <c r="F114" s="1302"/>
      <c r="I114" s="491"/>
    </row>
    <row r="115" spans="1:9">
      <c r="A115" s="485"/>
      <c r="B115" s="485"/>
      <c r="D115" s="1302"/>
      <c r="E115" s="1302"/>
      <c r="F115" s="1302"/>
      <c r="I115" s="491"/>
    </row>
    <row r="116" spans="1:9">
      <c r="A116" s="485"/>
      <c r="B116" s="485"/>
      <c r="D116" s="1302"/>
      <c r="E116" s="1302"/>
      <c r="F116" s="1302"/>
      <c r="I116" s="491"/>
    </row>
    <row r="117" spans="1:9">
      <c r="A117" s="485"/>
      <c r="B117" s="485"/>
      <c r="D117" s="1302"/>
      <c r="E117" s="1302"/>
      <c r="F117" s="1302"/>
      <c r="I117" s="491"/>
    </row>
    <row r="118" spans="1:9">
      <c r="A118" s="485"/>
      <c r="B118" s="485"/>
      <c r="D118" s="525"/>
      <c r="E118" s="525"/>
      <c r="F118" s="525"/>
      <c r="I118" s="491"/>
    </row>
    <row r="119" spans="1:9" ht="14.25" customHeight="1">
      <c r="A119" s="485"/>
      <c r="B119" s="486" t="s">
        <v>2762</v>
      </c>
      <c r="D119" s="1324" t="s">
        <v>1104</v>
      </c>
      <c r="E119" s="1324"/>
      <c r="F119" s="1324"/>
      <c r="I119" s="491"/>
    </row>
    <row r="120" spans="1:9">
      <c r="A120" s="485"/>
      <c r="B120" s="485"/>
      <c r="D120" s="1324"/>
      <c r="E120" s="1324"/>
      <c r="F120" s="1324"/>
      <c r="I120" s="491"/>
    </row>
    <row r="121" spans="1:9">
      <c r="A121" s="485"/>
      <c r="B121" s="485"/>
      <c r="D121" s="1324"/>
      <c r="E121" s="1324"/>
      <c r="F121" s="1324"/>
      <c r="I121" s="491"/>
    </row>
    <row r="122" spans="1:9">
      <c r="A122" s="485"/>
      <c r="B122" s="485"/>
      <c r="D122" s="1324"/>
      <c r="E122" s="1324"/>
      <c r="F122" s="1324"/>
      <c r="I122" s="491"/>
    </row>
    <row r="123" spans="1:9">
      <c r="A123" s="485"/>
      <c r="B123" s="485"/>
      <c r="D123" s="1324"/>
      <c r="E123" s="1324"/>
      <c r="F123" s="1324"/>
      <c r="I123" s="491"/>
    </row>
    <row r="124" spans="1:9">
      <c r="A124" s="485"/>
      <c r="B124" s="485"/>
      <c r="D124" s="1324"/>
      <c r="E124" s="1324"/>
      <c r="F124" s="1324"/>
      <c r="I124" s="491"/>
    </row>
    <row r="125" spans="1:9">
      <c r="A125" s="485"/>
      <c r="B125" s="485"/>
      <c r="D125" s="1324"/>
      <c r="E125" s="1324"/>
      <c r="F125" s="1324"/>
      <c r="I125" s="491"/>
    </row>
    <row r="126" spans="1:9">
      <c r="A126" s="485"/>
      <c r="B126" s="485"/>
      <c r="D126" s="1324"/>
      <c r="E126" s="1324"/>
      <c r="F126" s="1324"/>
      <c r="I126" s="491"/>
    </row>
    <row r="127" spans="1:9">
      <c r="C127" s="403"/>
      <c r="D127" s="526"/>
      <c r="E127" s="526"/>
      <c r="F127" s="526"/>
      <c r="I127" s="491"/>
    </row>
    <row r="128" spans="1:9">
      <c r="A128" s="485"/>
      <c r="B128" s="486" t="s">
        <v>2761</v>
      </c>
      <c r="C128" s="403"/>
      <c r="D128" s="1324" t="s">
        <v>2052</v>
      </c>
      <c r="E128" s="1324"/>
      <c r="F128" s="1324"/>
      <c r="I128" s="491"/>
    </row>
    <row r="129" spans="1:9">
      <c r="A129" s="485"/>
      <c r="B129" s="485"/>
      <c r="C129" s="403"/>
      <c r="D129" s="1324"/>
      <c r="E129" s="1324"/>
      <c r="F129" s="1324"/>
      <c r="I129" s="491"/>
    </row>
    <row r="130" spans="1:9">
      <c r="I130" s="491"/>
    </row>
    <row r="131" spans="1:9">
      <c r="A131" s="485"/>
      <c r="B131" s="486" t="s">
        <v>2761</v>
      </c>
      <c r="D131" s="1302" t="s">
        <v>1105</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c r="A137" s="485"/>
      <c r="B137" s="486" t="s">
        <v>2761</v>
      </c>
      <c r="D137" s="1302" t="s">
        <v>1106</v>
      </c>
      <c r="E137" s="1302"/>
      <c r="F137" s="1302"/>
      <c r="I137" s="491"/>
    </row>
    <row r="138" spans="1:9" s="418" customFormat="1" ht="13.75" customHeight="1">
      <c r="A138" s="489"/>
      <c r="B138" s="489"/>
      <c r="C138" s="489"/>
      <c r="D138" s="1302"/>
      <c r="E138" s="1302"/>
      <c r="F138" s="1302"/>
      <c r="I138" s="1157"/>
    </row>
    <row r="139" spans="1:9" ht="13.75" customHeight="1">
      <c r="D139" s="1302"/>
      <c r="E139" s="1302"/>
      <c r="F139" s="1302"/>
      <c r="I139" s="491"/>
    </row>
    <row r="140" spans="1:9" ht="13.75" customHeight="1">
      <c r="D140" s="1302"/>
      <c r="E140" s="1302"/>
      <c r="F140" s="1302"/>
      <c r="I140" s="491"/>
    </row>
    <row r="141" spans="1:9" ht="13.75" customHeight="1">
      <c r="D141" s="1302"/>
      <c r="E141" s="1302"/>
      <c r="F141" s="1302"/>
      <c r="I141" s="491"/>
    </row>
    <row r="142" spans="1:9" ht="13.75" customHeight="1">
      <c r="A142" s="490"/>
      <c r="B142" s="490"/>
      <c r="D142" s="1302"/>
      <c r="E142" s="1302"/>
      <c r="F142" s="1302"/>
      <c r="I142" s="491"/>
    </row>
    <row r="143" spans="1:9" ht="13.75" customHeight="1">
      <c r="D143" s="1302"/>
      <c r="E143" s="1302"/>
      <c r="F143" s="1302"/>
      <c r="I143" s="491"/>
    </row>
    <row r="144" spans="1:9" ht="13.75" customHeight="1">
      <c r="D144" s="1302"/>
      <c r="E144" s="1302"/>
      <c r="F144" s="1302"/>
      <c r="I144" s="491"/>
    </row>
    <row r="145" spans="2:9" ht="13.75" customHeight="1">
      <c r="D145" s="1302"/>
      <c r="E145" s="1302"/>
      <c r="F145" s="1302"/>
      <c r="I145" s="491"/>
    </row>
    <row r="146" spans="2:9" ht="13.75" customHeight="1">
      <c r="D146" s="1302"/>
      <c r="E146" s="1302"/>
      <c r="F146" s="1302"/>
      <c r="I146" s="491"/>
    </row>
    <row r="147" spans="2:9" ht="13.75" customHeight="1">
      <c r="D147" s="1302"/>
      <c r="E147" s="1302"/>
      <c r="F147" s="1302"/>
      <c r="I147" s="491"/>
    </row>
    <row r="148" spans="2:9" ht="13.75" customHeight="1">
      <c r="D148" s="1302"/>
      <c r="E148" s="1302"/>
      <c r="F148" s="1302"/>
      <c r="I148" s="491"/>
    </row>
    <row r="149" spans="2:9" ht="13.75" customHeight="1">
      <c r="D149" s="1302"/>
      <c r="E149" s="1302"/>
      <c r="F149" s="1302"/>
      <c r="I149" s="491"/>
    </row>
    <row r="150" spans="2:9" ht="13.75" customHeight="1">
      <c r="D150" s="477"/>
      <c r="E150" s="447"/>
      <c r="F150" s="447"/>
      <c r="I150" s="491"/>
    </row>
    <row r="151" spans="2:9" ht="13.75" customHeight="1">
      <c r="B151" s="486" t="s">
        <v>2761</v>
      </c>
      <c r="D151" s="1302" t="s">
        <v>1178</v>
      </c>
      <c r="E151" s="1302"/>
      <c r="F151" s="1302"/>
      <c r="I151" s="491"/>
    </row>
    <row r="152" spans="2:9" ht="13.75" customHeight="1">
      <c r="D152" s="1302"/>
      <c r="E152" s="1302"/>
      <c r="F152" s="1302"/>
      <c r="I152" s="491"/>
    </row>
    <row r="153" spans="2:9" ht="13.75" customHeight="1">
      <c r="D153" s="1302"/>
      <c r="E153" s="1302"/>
      <c r="F153" s="1302"/>
      <c r="I153" s="491"/>
    </row>
    <row r="154" spans="2:9" ht="13.75" customHeight="1">
      <c r="D154" s="1302"/>
      <c r="E154" s="1302"/>
      <c r="F154" s="1302"/>
      <c r="I154" s="491"/>
    </row>
    <row r="155" spans="2:9" ht="13.75" customHeight="1">
      <c r="D155" s="1302"/>
      <c r="E155" s="1302"/>
      <c r="F155" s="1302"/>
      <c r="I155" s="491"/>
    </row>
    <row r="156" spans="2:9" ht="13.75" customHeight="1">
      <c r="D156" s="1302"/>
      <c r="E156" s="1302"/>
      <c r="F156" s="1302"/>
      <c r="I156" s="491"/>
    </row>
    <row r="157" spans="2:9" ht="13.75" customHeight="1">
      <c r="D157" s="1302"/>
      <c r="E157" s="1302"/>
      <c r="F157" s="1302"/>
      <c r="I157" s="491"/>
    </row>
    <row r="158" spans="2:9" ht="13.75" customHeight="1">
      <c r="D158" s="1302"/>
      <c r="E158" s="1302"/>
      <c r="F158" s="1302"/>
      <c r="I158" s="491"/>
    </row>
    <row r="159" spans="2:9" ht="13.75" customHeight="1">
      <c r="D159" s="1302"/>
      <c r="E159" s="1302"/>
      <c r="F159" s="1302"/>
      <c r="I159" s="491"/>
    </row>
    <row r="160" spans="2:9" ht="13.75" customHeight="1">
      <c r="D160" s="1302"/>
      <c r="E160" s="1302"/>
      <c r="F160" s="1302"/>
      <c r="I160" s="491"/>
    </row>
    <row r="161" spans="1:9" ht="13.75" customHeight="1">
      <c r="D161" s="1302"/>
      <c r="E161" s="1302"/>
      <c r="F161" s="1302"/>
      <c r="I161" s="491"/>
    </row>
    <row r="162" spans="1:9" ht="13.75" customHeight="1">
      <c r="D162" s="1302"/>
      <c r="E162" s="1302"/>
      <c r="F162" s="1302"/>
      <c r="I162" s="491"/>
    </row>
    <row r="163" spans="1:9" ht="13.75" customHeight="1">
      <c r="D163" s="1302"/>
      <c r="E163" s="1302"/>
      <c r="F163" s="1302"/>
      <c r="I163" s="491"/>
    </row>
    <row r="164" spans="1:9" ht="13.75" customHeight="1">
      <c r="D164" s="1302"/>
      <c r="E164" s="1302"/>
      <c r="F164" s="1302"/>
      <c r="I164" s="491"/>
    </row>
    <row r="165" spans="1:9" ht="13.75" customHeight="1">
      <c r="D165" s="1302"/>
      <c r="E165" s="1302"/>
      <c r="F165" s="1302"/>
      <c r="I165" s="491"/>
    </row>
    <row r="166" spans="1:9" ht="13.75" customHeight="1">
      <c r="D166" s="1302"/>
      <c r="E166" s="1302"/>
      <c r="F166" s="1302"/>
      <c r="I166" s="491"/>
    </row>
    <row r="167" spans="1:9" ht="13.75" customHeight="1">
      <c r="D167" s="1302"/>
      <c r="E167" s="1302"/>
      <c r="F167" s="1302"/>
      <c r="I167" s="491"/>
    </row>
    <row r="168" spans="1:9" ht="13.75" customHeight="1">
      <c r="D168" s="1302"/>
      <c r="E168" s="1302"/>
      <c r="F168" s="1302"/>
      <c r="I168" s="491"/>
    </row>
    <row r="169" spans="1:9" ht="13.75" customHeight="1">
      <c r="D169" s="1321" t="s">
        <v>2075</v>
      </c>
      <c r="E169" s="1321"/>
      <c r="F169" s="1321"/>
      <c r="G169" s="508"/>
      <c r="I169" s="491"/>
    </row>
    <row r="170" spans="1:9" ht="13.75" customHeight="1">
      <c r="D170" s="1319"/>
      <c r="E170" s="1319"/>
      <c r="F170" s="1319"/>
      <c r="G170" s="1319"/>
      <c r="I170" s="491"/>
    </row>
    <row r="171" spans="1:9" ht="14.5" customHeight="1">
      <c r="A171" s="490"/>
      <c r="B171" s="486" t="s">
        <v>2762</v>
      </c>
      <c r="C171" s="477"/>
      <c r="D171" s="1273" t="s">
        <v>2215</v>
      </c>
      <c r="E171" s="1273"/>
      <c r="F171" s="1273"/>
      <c r="G171" s="477"/>
      <c r="I171" s="491"/>
    </row>
    <row r="172" spans="1:9" ht="14.5" customHeight="1">
      <c r="A172" s="490"/>
      <c r="B172" s="490"/>
      <c r="C172" s="477"/>
      <c r="D172" s="1273"/>
      <c r="E172" s="1273"/>
      <c r="F172" s="1273"/>
      <c r="G172" s="477"/>
      <c r="I172" s="491"/>
    </row>
    <row r="173" spans="1:9" ht="14.5" customHeight="1">
      <c r="A173" s="490"/>
      <c r="B173" s="490"/>
      <c r="C173" s="477"/>
      <c r="D173" s="1273"/>
      <c r="E173" s="1273"/>
      <c r="F173" s="1273"/>
      <c r="G173" s="477"/>
      <c r="I173" s="491"/>
    </row>
    <row r="174" spans="1:9" ht="14.5" customHeight="1">
      <c r="A174" s="490"/>
      <c r="B174" s="490"/>
      <c r="C174" s="477"/>
      <c r="D174" s="1273"/>
      <c r="E174" s="1273"/>
      <c r="F174" s="1273"/>
      <c r="G174" s="477"/>
      <c r="I174" s="491"/>
    </row>
    <row r="175" spans="1:9" ht="13.75" customHeight="1">
      <c r="A175" s="490"/>
      <c r="B175" s="490"/>
      <c r="C175" s="477"/>
      <c r="D175" s="1273"/>
      <c r="E175" s="1273"/>
      <c r="F175" s="1273"/>
      <c r="G175" s="477"/>
      <c r="I175" s="491"/>
    </row>
    <row r="176" spans="1:9" ht="13.75" customHeight="1">
      <c r="A176" s="490"/>
      <c r="B176" s="490"/>
      <c r="C176" s="477"/>
      <c r="D176" s="477"/>
      <c r="E176" s="477"/>
      <c r="F176" s="477"/>
      <c r="G176" s="477"/>
      <c r="I176" s="491"/>
    </row>
    <row r="177" spans="1:9" ht="13.75" customHeight="1">
      <c r="A177" s="490"/>
      <c r="B177" s="486" t="s">
        <v>2762</v>
      </c>
      <c r="C177" s="477"/>
      <c r="D177" s="1273" t="s">
        <v>1107</v>
      </c>
      <c r="E177" s="1273"/>
      <c r="F177" s="1273"/>
      <c r="G177" s="477"/>
      <c r="I177" s="491"/>
    </row>
    <row r="178" spans="1:9" ht="13.75" customHeight="1">
      <c r="A178" s="490"/>
      <c r="B178" s="490"/>
      <c r="C178" s="477"/>
      <c r="D178" s="1273"/>
      <c r="E178" s="1273"/>
      <c r="F178" s="1273"/>
      <c r="G178" s="477"/>
      <c r="I178" s="491"/>
    </row>
    <row r="179" spans="1:9" ht="13.75" customHeight="1">
      <c r="A179" s="490"/>
      <c r="B179" s="490"/>
      <c r="C179" s="477"/>
      <c r="D179" s="1273"/>
      <c r="E179" s="1273"/>
      <c r="F179" s="1273"/>
      <c r="G179" s="477"/>
      <c r="I179" s="491"/>
    </row>
    <row r="180" spans="1:9" ht="13.75" customHeight="1">
      <c r="A180" s="490"/>
      <c r="B180" s="490"/>
      <c r="C180" s="477"/>
      <c r="D180" s="1273"/>
      <c r="E180" s="1273"/>
      <c r="F180" s="1273"/>
      <c r="G180" s="477"/>
      <c r="I180" s="491"/>
    </row>
    <row r="181" spans="1:9" ht="13.75" customHeight="1">
      <c r="D181" s="447"/>
      <c r="E181" s="447"/>
      <c r="F181" s="447"/>
      <c r="I181" s="491"/>
    </row>
    <row r="182" spans="1:9" ht="13.75" customHeight="1">
      <c r="B182" s="486" t="s">
        <v>2761</v>
      </c>
      <c r="D182" s="1314" t="s">
        <v>2053</v>
      </c>
      <c r="E182" s="1314"/>
      <c r="F182" s="1314"/>
      <c r="I182" s="491"/>
    </row>
    <row r="183" spans="1:9" ht="13.75" customHeight="1">
      <c r="D183" s="1314"/>
      <c r="E183" s="1314"/>
      <c r="F183" s="1314"/>
      <c r="I183" s="491"/>
    </row>
    <row r="184" spans="1:9" ht="13.75" customHeight="1">
      <c r="D184" s="1314"/>
      <c r="E184" s="1314"/>
      <c r="F184" s="1314"/>
      <c r="I184" s="491"/>
    </row>
    <row r="185" spans="1:9" ht="13.75" customHeight="1">
      <c r="A185" s="491"/>
      <c r="B185" s="491"/>
      <c r="E185" s="447"/>
      <c r="F185" s="447"/>
      <c r="I185" s="491"/>
    </row>
    <row r="186" spans="1:9">
      <c r="A186" s="1309" t="s">
        <v>2054</v>
      </c>
      <c r="B186" s="1309"/>
      <c r="C186" s="1309"/>
      <c r="D186" s="1309"/>
      <c r="E186" s="1309"/>
      <c r="F186" s="1309"/>
      <c r="G186" s="1309"/>
      <c r="H186" s="1029"/>
      <c r="I186" s="1155"/>
    </row>
    <row r="187" spans="1:9" ht="12" customHeight="1">
      <c r="D187" s="447"/>
      <c r="E187" s="447"/>
      <c r="F187" s="447"/>
      <c r="I187" s="491"/>
    </row>
    <row r="188" spans="1:9">
      <c r="B188" s="1304" t="s">
        <v>447</v>
      </c>
      <c r="C188" s="1304"/>
      <c r="D188" s="1304"/>
      <c r="E188" s="1304"/>
      <c r="F188" s="1304"/>
      <c r="I188" s="491"/>
    </row>
    <row r="189" spans="1:9">
      <c r="B189" s="393" t="s">
        <v>1876</v>
      </c>
      <c r="C189" s="393"/>
      <c r="D189" s="393"/>
      <c r="E189" s="393"/>
      <c r="F189" s="393"/>
      <c r="I189" s="491"/>
    </row>
    <row r="190" spans="1:9" ht="12" customHeight="1">
      <c r="A190" s="483"/>
      <c r="B190" s="483"/>
      <c r="C190" s="483"/>
      <c r="I190" s="491"/>
    </row>
    <row r="191" spans="1:9">
      <c r="A191" s="1309" t="s">
        <v>1046</v>
      </c>
      <c r="B191" s="1309"/>
      <c r="C191" s="1309"/>
      <c r="D191" s="1309"/>
      <c r="E191" s="1309"/>
      <c r="F191" s="1309"/>
      <c r="G191" s="1309"/>
      <c r="H191" s="1029"/>
      <c r="I191" s="1155"/>
    </row>
    <row r="192" spans="1:9" ht="12" customHeight="1">
      <c r="A192" s="405"/>
      <c r="B192" s="405"/>
      <c r="E192" s="405"/>
      <c r="I192" s="491"/>
    </row>
    <row r="193" spans="1:9" ht="13.75" customHeight="1">
      <c r="A193" s="405"/>
      <c r="B193" s="405"/>
      <c r="D193" s="1318" t="s">
        <v>1747</v>
      </c>
      <c r="E193" s="1318"/>
      <c r="F193" s="1318"/>
      <c r="I193" s="491"/>
    </row>
    <row r="194" spans="1:9">
      <c r="A194" s="405"/>
      <c r="B194" s="405"/>
      <c r="D194" s="1318"/>
      <c r="E194" s="1318"/>
      <c r="F194" s="1318"/>
      <c r="I194" s="491"/>
    </row>
    <row r="195" spans="1:9">
      <c r="A195" s="405"/>
      <c r="B195" s="405"/>
      <c r="D195" s="1304" t="s">
        <v>1196</v>
      </c>
      <c r="E195" s="1304"/>
      <c r="F195" s="1304"/>
      <c r="I195" s="491"/>
    </row>
    <row r="196" spans="1:9">
      <c r="A196" s="405"/>
      <c r="B196" s="405"/>
      <c r="D196" s="393"/>
      <c r="E196" s="393"/>
      <c r="F196" s="393"/>
      <c r="I196" s="491"/>
    </row>
    <row r="197" spans="1:9">
      <c r="A197" s="405"/>
      <c r="B197" s="486" t="s">
        <v>2762</v>
      </c>
      <c r="D197" s="1289" t="s">
        <v>1748</v>
      </c>
      <c r="E197" s="1289"/>
      <c r="F197" s="1289"/>
      <c r="I197" s="491"/>
    </row>
    <row r="198" spans="1:9">
      <c r="A198" s="405"/>
      <c r="B198" s="405"/>
      <c r="D198" s="1288" t="s">
        <v>1903</v>
      </c>
      <c r="E198" s="1288"/>
      <c r="F198" s="1288"/>
      <c r="I198" s="491"/>
    </row>
    <row r="199" spans="1:9">
      <c r="A199" s="405"/>
      <c r="B199" s="405"/>
      <c r="D199" s="96" t="s">
        <v>1749</v>
      </c>
      <c r="E199" s="1326" t="s">
        <v>1926</v>
      </c>
      <c r="F199" s="1326"/>
      <c r="I199" s="491"/>
    </row>
    <row r="200" spans="1:9">
      <c r="A200" s="405"/>
      <c r="B200" s="405"/>
      <c r="D200" s="3"/>
      <c r="E200" s="3"/>
      <c r="F200" s="3"/>
      <c r="I200" s="491"/>
    </row>
    <row r="201" spans="1:9">
      <c r="A201" s="405"/>
      <c r="B201" s="486" t="s">
        <v>2762</v>
      </c>
      <c r="D201" s="1288" t="s">
        <v>1750</v>
      </c>
      <c r="E201" s="1288"/>
      <c r="F201" s="1288"/>
      <c r="I201" s="491"/>
    </row>
    <row r="202" spans="1:9">
      <c r="A202" s="405"/>
      <c r="B202" s="405"/>
      <c r="D202" s="1289" t="s">
        <v>1903</v>
      </c>
      <c r="E202" s="1289"/>
      <c r="F202" s="1289"/>
      <c r="I202" s="491"/>
    </row>
    <row r="203" spans="1:9">
      <c r="A203" s="405"/>
      <c r="B203" s="405"/>
      <c r="D203" s="57" t="s">
        <v>1751</v>
      </c>
      <c r="E203" s="1326" t="s">
        <v>1927</v>
      </c>
      <c r="F203" s="1326"/>
      <c r="I203" s="491"/>
    </row>
    <row r="204" spans="1:9">
      <c r="A204" s="405"/>
      <c r="B204" s="405"/>
      <c r="D204" s="3"/>
      <c r="E204" s="3"/>
      <c r="F204" s="3"/>
      <c r="I204" s="491"/>
    </row>
    <row r="205" spans="1:9">
      <c r="A205" s="405"/>
      <c r="B205" s="486" t="s">
        <v>2762</v>
      </c>
      <c r="D205" s="1288" t="s">
        <v>1752</v>
      </c>
      <c r="E205" s="1288"/>
      <c r="F205" s="1288"/>
      <c r="I205" s="491"/>
    </row>
    <row r="206" spans="1:9">
      <c r="A206" s="405"/>
      <c r="B206" s="405"/>
      <c r="D206" s="1289" t="s">
        <v>1903</v>
      </c>
      <c r="E206" s="1289"/>
      <c r="F206" s="1289"/>
      <c r="I206" s="491"/>
    </row>
    <row r="207" spans="1:9">
      <c r="A207" s="405"/>
      <c r="B207" s="405"/>
      <c r="D207" s="57" t="s">
        <v>1749</v>
      </c>
      <c r="E207" s="1326" t="s">
        <v>1928</v>
      </c>
      <c r="F207" s="1326"/>
      <c r="I207" s="491"/>
    </row>
    <row r="208" spans="1:9">
      <c r="A208" s="405"/>
      <c r="B208" s="405"/>
      <c r="D208" s="393"/>
      <c r="E208" s="393"/>
      <c r="F208" s="393"/>
      <c r="I208" s="491"/>
    </row>
    <row r="209" spans="1:9" ht="14.25" customHeight="1">
      <c r="A209" s="485"/>
      <c r="B209" s="486" t="s">
        <v>2762</v>
      </c>
      <c r="D209" s="387" t="s">
        <v>1896</v>
      </c>
      <c r="E209" s="386"/>
      <c r="F209" s="386"/>
      <c r="I209" s="491"/>
    </row>
    <row r="210" spans="1:9">
      <c r="A210" s="485"/>
      <c r="B210" s="485"/>
      <c r="D210" s="1289" t="s">
        <v>1903</v>
      </c>
      <c r="E210" s="1289"/>
      <c r="F210" s="1289"/>
      <c r="I210" s="491"/>
    </row>
    <row r="211" spans="1:9">
      <c r="D211" s="386"/>
      <c r="E211" s="1326" t="s">
        <v>1929</v>
      </c>
      <c r="F211" s="1326"/>
      <c r="I211" s="491"/>
    </row>
    <row r="212" spans="1:9">
      <c r="D212" s="448"/>
      <c r="I212" s="491"/>
    </row>
    <row r="213" spans="1:9">
      <c r="B213" s="486" t="s">
        <v>2762</v>
      </c>
      <c r="D213" s="1288" t="s">
        <v>1753</v>
      </c>
      <c r="E213" s="1288"/>
      <c r="F213" s="1288"/>
      <c r="I213" s="491"/>
    </row>
    <row r="214" spans="1:9">
      <c r="D214" s="1289" t="s">
        <v>1903</v>
      </c>
      <c r="E214" s="1289"/>
      <c r="F214" s="1289"/>
      <c r="I214" s="491"/>
    </row>
    <row r="215" spans="1:9">
      <c r="D215" s="57" t="s">
        <v>1749</v>
      </c>
      <c r="E215" s="1326" t="s">
        <v>1930</v>
      </c>
      <c r="F215" s="1326"/>
      <c r="I215" s="491"/>
    </row>
    <row r="216" spans="1:9">
      <c r="D216" s="452"/>
      <c r="E216" s="452"/>
      <c r="F216" s="452"/>
      <c r="I216" s="491"/>
    </row>
    <row r="217" spans="1:9">
      <c r="A217" s="485"/>
      <c r="B217" s="486" t="s">
        <v>2762</v>
      </c>
      <c r="D217" s="1302" t="s">
        <v>1217</v>
      </c>
      <c r="E217" s="1302"/>
      <c r="F217" s="1302"/>
      <c r="I217" s="491"/>
    </row>
    <row r="218" spans="1:9" ht="14.5" customHeight="1">
      <c r="A218" s="485"/>
      <c r="B218" s="403"/>
      <c r="D218" s="1302"/>
      <c r="E218" s="1302"/>
      <c r="F218" s="1302"/>
      <c r="I218" s="491"/>
    </row>
    <row r="219" spans="1:9">
      <c r="A219" s="485"/>
      <c r="D219" s="1302"/>
      <c r="E219" s="1302"/>
      <c r="F219" s="1302"/>
      <c r="I219" s="491"/>
    </row>
    <row r="220" spans="1:9">
      <c r="A220" s="485"/>
      <c r="D220" s="1302"/>
      <c r="E220" s="1302"/>
      <c r="F220" s="1302"/>
      <c r="I220" s="491"/>
    </row>
    <row r="221" spans="1:9">
      <c r="D221" s="452"/>
      <c r="E221" s="452"/>
      <c r="F221" s="452"/>
      <c r="I221" s="491"/>
    </row>
    <row r="222" spans="1:9">
      <c r="A222" s="1309" t="s">
        <v>1047</v>
      </c>
      <c r="B222" s="1309"/>
      <c r="C222" s="1309"/>
      <c r="D222" s="1309"/>
      <c r="E222" s="1309"/>
      <c r="F222" s="1309"/>
      <c r="G222" s="1309"/>
      <c r="H222" s="1029"/>
      <c r="I222" s="1155"/>
    </row>
    <row r="223" spans="1:9" ht="12" customHeight="1">
      <c r="D223" s="447"/>
      <c r="E223" s="447"/>
      <c r="F223" s="447"/>
      <c r="I223" s="491"/>
    </row>
    <row r="224" spans="1:9">
      <c r="C224" s="487"/>
      <c r="D224" s="1310" t="s">
        <v>208</v>
      </c>
      <c r="E224" s="1310"/>
      <c r="F224" s="1310"/>
      <c r="I224" s="491"/>
    </row>
    <row r="225" spans="1:9">
      <c r="A225" s="483"/>
      <c r="B225" s="483"/>
      <c r="C225" s="483"/>
      <c r="D225" s="1300" t="s">
        <v>1121</v>
      </c>
      <c r="E225" s="1300"/>
      <c r="F225" s="1300"/>
      <c r="I225" s="491"/>
    </row>
    <row r="226" spans="1:9" ht="12" customHeight="1">
      <c r="A226" s="491"/>
      <c r="B226" s="491"/>
      <c r="C226" s="491"/>
      <c r="I226" s="491"/>
    </row>
    <row r="227" spans="1:9" ht="13.75" customHeight="1">
      <c r="A227" s="491"/>
      <c r="C227" s="491"/>
      <c r="D227" s="1310" t="s">
        <v>547</v>
      </c>
      <c r="E227" s="1310"/>
      <c r="F227" s="1310"/>
      <c r="I227" s="491"/>
    </row>
    <row r="228" spans="1:9">
      <c r="A228" s="485"/>
      <c r="B228" s="486" t="s">
        <v>2761</v>
      </c>
      <c r="D228" s="1302" t="s">
        <v>1754</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c r="A231" s="485"/>
      <c r="B231" s="485"/>
      <c r="D231" s="1302"/>
      <c r="E231" s="1302"/>
      <c r="F231" s="1302"/>
      <c r="I231" s="491"/>
    </row>
    <row r="232" spans="1:9">
      <c r="A232" s="485"/>
      <c r="B232" s="485"/>
      <c r="D232" s="446"/>
      <c r="E232" s="446"/>
      <c r="F232" s="446"/>
      <c r="I232" s="491"/>
    </row>
    <row r="233" spans="1:9">
      <c r="A233" s="485"/>
      <c r="B233" s="486" t="s">
        <v>2761</v>
      </c>
      <c r="D233" s="1302" t="s">
        <v>1755</v>
      </c>
      <c r="E233" s="1302"/>
      <c r="F233" s="1302"/>
      <c r="I233" s="491"/>
    </row>
    <row r="234" spans="1:9">
      <c r="A234" s="485"/>
      <c r="B234" s="485"/>
      <c r="D234" s="1302"/>
      <c r="E234" s="1302"/>
      <c r="F234" s="1302"/>
      <c r="I234" s="491"/>
    </row>
    <row r="235" spans="1:9">
      <c r="A235" s="485"/>
      <c r="B235" s="485"/>
      <c r="D235" s="1302"/>
      <c r="E235" s="1302"/>
      <c r="F235" s="1302"/>
      <c r="I235" s="491"/>
    </row>
    <row r="236" spans="1:9">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c r="A239" s="485"/>
      <c r="B239" s="485"/>
      <c r="D239" s="1302" t="s">
        <v>1119</v>
      </c>
      <c r="E239" s="1302"/>
      <c r="F239" s="1302"/>
      <c r="I239" s="491"/>
    </row>
    <row r="240" spans="1:9">
      <c r="A240" s="485"/>
      <c r="B240" s="485"/>
      <c r="D240" s="1302"/>
      <c r="E240" s="1302"/>
      <c r="F240" s="1302"/>
      <c r="I240" s="491"/>
    </row>
    <row r="241" spans="1:9">
      <c r="A241" s="485"/>
      <c r="B241" s="485"/>
      <c r="D241" s="1302"/>
      <c r="E241" s="1302"/>
      <c r="F241" s="1302"/>
      <c r="I241" s="491"/>
    </row>
    <row r="242" spans="1:9">
      <c r="A242" s="485"/>
      <c r="B242" s="485"/>
      <c r="D242" s="1302"/>
      <c r="E242" s="1302"/>
      <c r="F242" s="1302"/>
      <c r="I242" s="491"/>
    </row>
    <row r="243" spans="1:9">
      <c r="A243" s="485"/>
      <c r="B243" s="485"/>
      <c r="D243" s="1302"/>
      <c r="E243" s="1302"/>
      <c r="F243" s="1302"/>
      <c r="I243" s="491"/>
    </row>
    <row r="244" spans="1:9">
      <c r="A244" s="485"/>
      <c r="B244" s="485"/>
      <c r="D244" s="447"/>
      <c r="E244" s="447"/>
      <c r="F244" s="447"/>
      <c r="I244" s="491"/>
    </row>
    <row r="245" spans="1:9">
      <c r="A245" s="485"/>
      <c r="B245" s="486" t="s">
        <v>2762</v>
      </c>
      <c r="D245" s="1302" t="s">
        <v>2055</v>
      </c>
      <c r="E245" s="1302"/>
      <c r="F245" s="1302"/>
      <c r="I245" s="491"/>
    </row>
    <row r="246" spans="1:9">
      <c r="A246" s="485"/>
      <c r="B246" s="485"/>
      <c r="D246" s="1302"/>
      <c r="E246" s="1302"/>
      <c r="F246" s="1302"/>
      <c r="I246" s="491"/>
    </row>
    <row r="247" spans="1:9">
      <c r="A247" s="485"/>
      <c r="B247" s="485"/>
      <c r="D247" s="1302"/>
      <c r="E247" s="1302"/>
      <c r="F247" s="1302"/>
      <c r="I247" s="491"/>
    </row>
    <row r="248" spans="1:9">
      <c r="A248" s="485"/>
      <c r="B248" s="485"/>
      <c r="E248" s="1037" t="s">
        <v>1897</v>
      </c>
      <c r="I248" s="491"/>
    </row>
    <row r="249" spans="1:9">
      <c r="A249" s="485"/>
      <c r="B249" s="485"/>
      <c r="D249" s="447"/>
      <c r="E249" s="447"/>
      <c r="F249" s="447"/>
      <c r="I249" s="491"/>
    </row>
    <row r="250" spans="1:9" ht="14.5" customHeight="1">
      <c r="A250" s="485"/>
      <c r="B250" s="486" t="s">
        <v>2762</v>
      </c>
      <c r="D250" s="1302" t="s">
        <v>2056</v>
      </c>
      <c r="E250" s="1302"/>
      <c r="F250" s="1302"/>
      <c r="I250" s="491"/>
    </row>
    <row r="251" spans="1:9">
      <c r="A251" s="485"/>
      <c r="B251" s="485"/>
      <c r="D251" s="1302"/>
      <c r="E251" s="1302"/>
      <c r="F251" s="1302"/>
      <c r="I251" s="491"/>
    </row>
    <row r="252" spans="1:9">
      <c r="A252" s="485"/>
      <c r="B252" s="485"/>
      <c r="D252" s="1302"/>
      <c r="E252" s="1302"/>
      <c r="F252" s="1302"/>
      <c r="I252" s="491"/>
    </row>
    <row r="253" spans="1:9">
      <c r="A253" s="485"/>
      <c r="B253" s="485"/>
      <c r="D253" s="1302"/>
      <c r="E253" s="1302"/>
      <c r="F253" s="1302"/>
      <c r="I253" s="491"/>
    </row>
    <row r="254" spans="1:9">
      <c r="A254" s="485"/>
      <c r="B254" s="485"/>
      <c r="D254" s="1302"/>
      <c r="E254" s="1302"/>
      <c r="F254" s="1302"/>
      <c r="I254" s="491"/>
    </row>
    <row r="255" spans="1:9">
      <c r="A255" s="485"/>
      <c r="B255" s="485"/>
      <c r="D255" s="446"/>
      <c r="E255" s="446"/>
      <c r="F255" s="446"/>
      <c r="I255" s="491"/>
    </row>
    <row r="256" spans="1:9">
      <c r="A256" s="485"/>
      <c r="B256" s="486" t="s">
        <v>2761</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2761</v>
      </c>
      <c r="D259" s="1302" t="s">
        <v>1120</v>
      </c>
      <c r="E259" s="1302"/>
      <c r="F259" s="1302"/>
      <c r="I259" s="491"/>
    </row>
    <row r="260" spans="1:9">
      <c r="A260" s="485"/>
      <c r="B260" s="485"/>
      <c r="D260" s="1302"/>
      <c r="E260" s="1302"/>
      <c r="F260" s="1302"/>
      <c r="I260" s="491"/>
    </row>
    <row r="261" spans="1:9">
      <c r="D261" s="492"/>
      <c r="I261" s="491"/>
    </row>
    <row r="262" spans="1:9">
      <c r="A262" s="1309" t="s">
        <v>1048</v>
      </c>
      <c r="B262" s="1309"/>
      <c r="C262" s="1309"/>
      <c r="D262" s="1309"/>
      <c r="E262" s="1309"/>
      <c r="F262" s="1309"/>
      <c r="G262" s="1309"/>
      <c r="H262" s="1029"/>
      <c r="I262" s="1155"/>
    </row>
    <row r="263" spans="1:9">
      <c r="D263" s="492"/>
      <c r="I263" s="491"/>
    </row>
    <row r="264" spans="1:9">
      <c r="C264" s="487"/>
      <c r="D264" s="1310" t="s">
        <v>1122</v>
      </c>
      <c r="E264" s="1310"/>
      <c r="F264" s="1310"/>
      <c r="I264" s="491"/>
    </row>
    <row r="265" spans="1:9">
      <c r="A265" s="483"/>
      <c r="B265" s="483"/>
      <c r="C265" s="483"/>
      <c r="D265" s="447"/>
      <c r="E265" s="447"/>
      <c r="F265" s="447"/>
      <c r="I265" s="491"/>
    </row>
    <row r="266" spans="1:9">
      <c r="A266" s="484"/>
      <c r="B266" s="484"/>
      <c r="C266" s="484"/>
      <c r="D266" s="1310" t="s">
        <v>269</v>
      </c>
      <c r="E266" s="1310"/>
      <c r="F266" s="1310"/>
      <c r="I266" s="491"/>
    </row>
    <row r="267" spans="1:9" ht="14.5" customHeight="1">
      <c r="A267" s="485"/>
      <c r="B267" s="486" t="s">
        <v>2761</v>
      </c>
      <c r="D267" s="1302" t="s">
        <v>1197</v>
      </c>
      <c r="E267" s="1302"/>
      <c r="F267" s="1302"/>
      <c r="I267" s="491"/>
    </row>
    <row r="268" spans="1:9">
      <c r="D268" s="1302"/>
      <c r="E268" s="1302"/>
      <c r="F268" s="1302"/>
      <c r="I268" s="491"/>
    </row>
    <row r="269" spans="1:9">
      <c r="E269" s="1037" t="s">
        <v>1899</v>
      </c>
      <c r="I269" s="491"/>
    </row>
    <row r="270" spans="1:9">
      <c r="D270" s="447"/>
      <c r="E270" s="447"/>
      <c r="F270" s="447"/>
      <c r="I270" s="491"/>
    </row>
    <row r="271" spans="1:9" ht="14.5" customHeight="1">
      <c r="A271" s="485"/>
      <c r="B271" s="486" t="s">
        <v>2762</v>
      </c>
      <c r="D271" s="1302" t="s">
        <v>2058</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c r="A278" s="485"/>
      <c r="B278" s="486" t="s">
        <v>2762</v>
      </c>
      <c r="D278" s="1302" t="s">
        <v>1123</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1049</v>
      </c>
      <c r="B282" s="1309"/>
      <c r="C282" s="1309"/>
      <c r="D282" s="1309"/>
      <c r="E282" s="1309"/>
      <c r="F282" s="1309"/>
      <c r="G282" s="1309"/>
      <c r="H282" s="1029"/>
      <c r="I282" s="1155"/>
    </row>
    <row r="283" spans="1:9">
      <c r="D283" s="493"/>
      <c r="E283" s="447"/>
      <c r="F283" s="447"/>
      <c r="I283" s="491"/>
    </row>
    <row r="284" spans="1:9">
      <c r="C284" s="483"/>
      <c r="D284" s="1318" t="s">
        <v>1124</v>
      </c>
      <c r="E284" s="1318"/>
      <c r="F284" s="1318"/>
      <c r="I284" s="491"/>
    </row>
    <row r="285" spans="1:9">
      <c r="C285" s="483"/>
      <c r="D285" s="1318"/>
      <c r="E285" s="1318"/>
      <c r="F285" s="1318"/>
      <c r="I285" s="491"/>
    </row>
    <row r="286" spans="1:9">
      <c r="A286" s="484"/>
      <c r="B286" s="484"/>
      <c r="C286" s="484"/>
      <c r="D286" s="405"/>
      <c r="I286" s="491"/>
    </row>
    <row r="287" spans="1:9">
      <c r="C287" s="484"/>
      <c r="D287" s="1310" t="s">
        <v>209</v>
      </c>
      <c r="E287" s="1310"/>
      <c r="F287" s="1310"/>
      <c r="I287" s="491"/>
    </row>
    <row r="288" spans="1:9" ht="15.75" customHeight="1">
      <c r="A288" s="485"/>
      <c r="B288" s="485"/>
      <c r="D288" s="1327" t="s">
        <v>1125</v>
      </c>
      <c r="E288" s="1327"/>
      <c r="F288" s="1327"/>
      <c r="I288" s="491"/>
    </row>
    <row r="289" spans="1:9">
      <c r="E289" s="447"/>
      <c r="F289" s="447"/>
      <c r="I289" s="491"/>
    </row>
    <row r="290" spans="1:9">
      <c r="A290" s="485"/>
      <c r="B290" s="486" t="s">
        <v>2762</v>
      </c>
      <c r="D290" s="1302" t="s">
        <v>1126</v>
      </c>
      <c r="E290" s="1302"/>
      <c r="F290" s="1302"/>
      <c r="I290" s="491"/>
    </row>
    <row r="291" spans="1:9">
      <c r="A291" s="485"/>
      <c r="B291" s="485"/>
      <c r="D291" s="1302"/>
      <c r="E291" s="1302"/>
      <c r="F291" s="1302"/>
      <c r="I291" s="491"/>
    </row>
    <row r="292" spans="1:9">
      <c r="D292" s="447"/>
      <c r="E292" s="447"/>
      <c r="F292" s="447"/>
      <c r="I292" s="491"/>
    </row>
    <row r="293" spans="1:9">
      <c r="A293" s="485"/>
      <c r="B293" s="486" t="s">
        <v>2762</v>
      </c>
      <c r="D293" s="1302" t="s">
        <v>1127</v>
      </c>
      <c r="E293" s="1302"/>
      <c r="F293" s="1302"/>
      <c r="I293" s="491"/>
    </row>
    <row r="294" spans="1:9">
      <c r="A294" s="485"/>
      <c r="B294" s="485"/>
      <c r="D294" s="1302"/>
      <c r="E294" s="1302"/>
      <c r="F294" s="1302"/>
      <c r="I294" s="491"/>
    </row>
    <row r="295" spans="1:9">
      <c r="A295" s="485"/>
      <c r="B295" s="485"/>
      <c r="D295" s="1302"/>
      <c r="E295" s="1302"/>
      <c r="F295" s="1302"/>
      <c r="I295" s="491"/>
    </row>
    <row r="296" spans="1:9">
      <c r="D296" s="447"/>
      <c r="E296" s="447"/>
      <c r="F296" s="447"/>
      <c r="I296" s="491"/>
    </row>
    <row r="297" spans="1:9">
      <c r="A297" s="485"/>
      <c r="B297" s="486" t="s">
        <v>2762</v>
      </c>
      <c r="D297" s="1302" t="s">
        <v>1128</v>
      </c>
      <c r="E297" s="1302"/>
      <c r="F297" s="1302"/>
      <c r="I297" s="491"/>
    </row>
    <row r="298" spans="1:9">
      <c r="A298" s="485"/>
      <c r="B298" s="485"/>
      <c r="D298" s="1302"/>
      <c r="E298" s="1302"/>
      <c r="F298" s="1302"/>
      <c r="I298" s="491"/>
    </row>
    <row r="299" spans="1:9">
      <c r="A299" s="491"/>
      <c r="B299" s="491"/>
      <c r="E299" s="447"/>
      <c r="F299" s="447"/>
      <c r="I299" s="491"/>
    </row>
    <row r="300" spans="1:9">
      <c r="A300" s="1309" t="s">
        <v>1050</v>
      </c>
      <c r="B300" s="1309"/>
      <c r="C300" s="1309"/>
      <c r="D300" s="1309"/>
      <c r="E300" s="1309"/>
      <c r="F300" s="1309"/>
      <c r="G300" s="1309"/>
      <c r="H300" s="1029"/>
      <c r="I300" s="1155"/>
    </row>
    <row r="301" spans="1:9">
      <c r="A301" s="491"/>
      <c r="B301" s="491"/>
      <c r="D301" s="447"/>
      <c r="E301" s="447"/>
      <c r="F301" s="447"/>
      <c r="I301" s="491"/>
    </row>
    <row r="302" spans="1:9">
      <c r="C302" s="491"/>
      <c r="D302" s="1310" t="s">
        <v>683</v>
      </c>
      <c r="E302" s="1310"/>
      <c r="F302" s="1310"/>
      <c r="I302" s="491"/>
    </row>
    <row r="303" spans="1:9">
      <c r="C303" s="491"/>
      <c r="D303" s="1300" t="s">
        <v>1129</v>
      </c>
      <c r="E303" s="1300"/>
      <c r="F303" s="1300"/>
      <c r="I303" s="491"/>
    </row>
    <row r="304" spans="1:9">
      <c r="C304" s="491"/>
      <c r="D304" s="494"/>
      <c r="I304" s="491"/>
    </row>
    <row r="305" spans="1:9">
      <c r="B305" s="486" t="s">
        <v>2761</v>
      </c>
      <c r="D305" s="1300" t="s">
        <v>1130</v>
      </c>
      <c r="E305" s="1300"/>
      <c r="F305" s="1300"/>
      <c r="I305" s="491"/>
    </row>
    <row r="306" spans="1:9">
      <c r="A306" s="485"/>
      <c r="B306" s="485"/>
      <c r="D306" s="495"/>
      <c r="E306" s="496"/>
      <c r="F306" s="496"/>
      <c r="I306" s="491"/>
    </row>
    <row r="307" spans="1:9" ht="13.75" customHeight="1">
      <c r="B307" s="486" t="s">
        <v>2762</v>
      </c>
      <c r="D307" s="1311" t="s">
        <v>1220</v>
      </c>
      <c r="E307" s="1311"/>
      <c r="F307" s="1311"/>
      <c r="I307" s="491"/>
    </row>
    <row r="308" spans="1:9">
      <c r="A308" s="485"/>
      <c r="B308" s="485"/>
      <c r="D308" s="1311"/>
      <c r="E308" s="1311"/>
      <c r="F308" s="1311"/>
      <c r="I308" s="491"/>
    </row>
    <row r="309" spans="1:9">
      <c r="A309" s="485"/>
      <c r="B309" s="485"/>
      <c r="D309" s="1311"/>
      <c r="E309" s="1311"/>
      <c r="F309" s="1311"/>
      <c r="I309" s="491"/>
    </row>
    <row r="310" spans="1:9">
      <c r="A310" s="485"/>
      <c r="B310" s="485"/>
      <c r="D310" s="1311"/>
      <c r="E310" s="1311"/>
      <c r="F310" s="1311"/>
      <c r="I310" s="491"/>
    </row>
    <row r="311" spans="1:9">
      <c r="A311" s="485"/>
      <c r="B311" s="485"/>
      <c r="D311" s="1311"/>
      <c r="E311" s="1311"/>
      <c r="F311" s="1311"/>
      <c r="I311" s="491"/>
    </row>
    <row r="312" spans="1:9">
      <c r="A312" s="485"/>
      <c r="B312" s="485"/>
      <c r="D312" s="495"/>
      <c r="E312" s="496"/>
      <c r="F312" s="496"/>
      <c r="I312" s="491"/>
    </row>
    <row r="313" spans="1:9" ht="13.75" customHeight="1">
      <c r="B313" s="486" t="s">
        <v>2762</v>
      </c>
      <c r="D313" s="1311" t="s">
        <v>1131</v>
      </c>
      <c r="E313" s="1311"/>
      <c r="F313" s="1311"/>
      <c r="I313" s="491"/>
    </row>
    <row r="314" spans="1:9">
      <c r="D314" s="1311"/>
      <c r="E314" s="1311"/>
      <c r="F314" s="1311"/>
      <c r="I314" s="491"/>
    </row>
    <row r="315" spans="1:9">
      <c r="A315" s="485"/>
      <c r="B315" s="485"/>
      <c r="D315" s="495"/>
      <c r="E315" s="496"/>
      <c r="F315" s="496"/>
      <c r="I315" s="491"/>
    </row>
    <row r="316" spans="1:9">
      <c r="B316" s="486" t="s">
        <v>2762</v>
      </c>
      <c r="D316" s="1300" t="s">
        <v>1132</v>
      </c>
      <c r="E316" s="1300"/>
      <c r="F316" s="1300"/>
      <c r="I316" s="491"/>
    </row>
    <row r="317" spans="1:9">
      <c r="E317" s="447"/>
      <c r="F317" s="447"/>
      <c r="I317" s="491"/>
    </row>
    <row r="318" spans="1:9">
      <c r="A318" s="485"/>
      <c r="B318" s="486" t="s">
        <v>2762</v>
      </c>
      <c r="D318" s="1302" t="s">
        <v>2249</v>
      </c>
      <c r="E318" s="1302"/>
      <c r="F318" s="1302"/>
      <c r="I318" s="491"/>
    </row>
    <row r="319" spans="1:9">
      <c r="A319" s="485"/>
      <c r="B319" s="485"/>
      <c r="D319" s="1302"/>
      <c r="E319" s="1302"/>
      <c r="F319" s="1302"/>
      <c r="I319" s="491"/>
    </row>
    <row r="320" spans="1:9">
      <c r="A320" s="485"/>
      <c r="B320" s="485"/>
      <c r="D320" s="1302"/>
      <c r="E320" s="1302"/>
      <c r="F320" s="1302"/>
      <c r="I320" s="491"/>
    </row>
    <row r="321" spans="1:9">
      <c r="A321" s="485"/>
      <c r="B321" s="485"/>
      <c r="D321" s="1302"/>
      <c r="E321" s="1302"/>
      <c r="F321" s="1302"/>
      <c r="I321" s="491"/>
    </row>
    <row r="322" spans="1:9">
      <c r="A322" s="485"/>
      <c r="B322" s="485"/>
      <c r="D322" s="1302"/>
      <c r="E322" s="1302"/>
      <c r="F322" s="1302"/>
      <c r="I322" s="491"/>
    </row>
    <row r="323" spans="1:9">
      <c r="A323" s="485"/>
      <c r="B323" s="485"/>
      <c r="D323" s="1302"/>
      <c r="E323" s="1302"/>
      <c r="F323" s="1302"/>
      <c r="I323" s="491"/>
    </row>
    <row r="324" spans="1:9">
      <c r="A324" s="485"/>
      <c r="B324" s="485"/>
      <c r="D324" s="1302"/>
      <c r="E324" s="1302"/>
      <c r="F324" s="1302"/>
      <c r="I324" s="491"/>
    </row>
    <row r="325" spans="1:9">
      <c r="A325" s="485"/>
      <c r="B325" s="485"/>
      <c r="D325" s="1302"/>
      <c r="E325" s="1302"/>
      <c r="F325" s="1302"/>
      <c r="I325" s="491"/>
    </row>
    <row r="326" spans="1:9">
      <c r="A326" s="485"/>
      <c r="B326" s="485"/>
      <c r="D326" s="1302"/>
      <c r="E326" s="1302"/>
      <c r="F326" s="1302"/>
      <c r="I326" s="491"/>
    </row>
    <row r="327" spans="1:9">
      <c r="A327" s="485"/>
      <c r="B327" s="485"/>
      <c r="D327" s="1302"/>
      <c r="E327" s="1302"/>
      <c r="F327" s="1302"/>
      <c r="I327" s="491"/>
    </row>
    <row r="328" spans="1:9">
      <c r="A328" s="485"/>
      <c r="B328" s="485"/>
      <c r="D328" s="1302"/>
      <c r="E328" s="1302"/>
      <c r="F328" s="1302"/>
      <c r="I328" s="491"/>
    </row>
    <row r="329" spans="1:9">
      <c r="A329" s="485"/>
      <c r="B329" s="485"/>
      <c r="D329" s="1302"/>
      <c r="E329" s="1302"/>
      <c r="F329" s="1302"/>
      <c r="I329" s="491"/>
    </row>
    <row r="330" spans="1:9">
      <c r="A330" s="485"/>
      <c r="B330" s="485"/>
      <c r="D330" s="1302"/>
      <c r="E330" s="1302"/>
      <c r="F330" s="1302"/>
      <c r="I330" s="491"/>
    </row>
    <row r="331" spans="1:9">
      <c r="A331" s="485"/>
      <c r="B331" s="485"/>
      <c r="D331" s="1302"/>
      <c r="E331" s="1302"/>
      <c r="F331" s="1302"/>
      <c r="I331" s="491"/>
    </row>
    <row r="332" spans="1:9">
      <c r="A332" s="485"/>
      <c r="B332" s="485"/>
      <c r="D332" s="1302"/>
      <c r="E332" s="1302"/>
      <c r="F332" s="1302"/>
      <c r="I332" s="491"/>
    </row>
    <row r="333" spans="1:9">
      <c r="D333" s="447"/>
      <c r="E333" s="447"/>
      <c r="F333" s="447"/>
      <c r="I333" s="491"/>
    </row>
    <row r="334" spans="1:9">
      <c r="A334" s="485"/>
      <c r="B334" s="486" t="s">
        <v>2762</v>
      </c>
      <c r="D334" s="1302" t="s">
        <v>1133</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2762</v>
      </c>
      <c r="D344" s="1302" t="s">
        <v>1904</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30" t="s">
        <v>980</v>
      </c>
      <c r="E351" s="1330"/>
      <c r="F351" s="1330"/>
      <c r="G351" s="1028"/>
      <c r="H351" s="1028"/>
      <c r="I351" s="1158"/>
    </row>
    <row r="352" spans="1:9" ht="13.5" thickTop="1">
      <c r="D352" s="1329" t="s">
        <v>2250</v>
      </c>
      <c r="E352" s="1329"/>
      <c r="F352" s="1329"/>
      <c r="I352" s="491"/>
    </row>
    <row r="353" spans="1:9">
      <c r="D353" s="447"/>
      <c r="E353" s="447"/>
      <c r="F353" s="447"/>
      <c r="I353" s="491"/>
    </row>
    <row r="354" spans="1:9">
      <c r="A354" s="477"/>
      <c r="B354" s="477"/>
      <c r="C354" s="477"/>
      <c r="D354" s="448"/>
      <c r="E354" s="448"/>
      <c r="F354" s="447"/>
      <c r="I354" s="491"/>
    </row>
    <row r="355" spans="1:9">
      <c r="A355" s="485"/>
      <c r="B355" s="486" t="s">
        <v>2762</v>
      </c>
      <c r="C355" s="488"/>
      <c r="D355" s="1300" t="s">
        <v>1902</v>
      </c>
      <c r="E355" s="1300"/>
      <c r="F355" s="1300"/>
      <c r="I355" s="491"/>
    </row>
    <row r="356" spans="1:9" ht="12.75" customHeight="1">
      <c r="D356" s="1038"/>
      <c r="E356" s="96" t="s">
        <v>1901</v>
      </c>
      <c r="F356" s="1038"/>
      <c r="I356" s="491"/>
    </row>
    <row r="357" spans="1:9">
      <c r="D357" s="1302" t="s">
        <v>1240</v>
      </c>
      <c r="E357" s="1302"/>
      <c r="F357" s="1302"/>
      <c r="I357" s="491"/>
    </row>
    <row r="358" spans="1:9">
      <c r="D358" s="1302"/>
      <c r="E358" s="1302"/>
      <c r="F358" s="1302"/>
      <c r="I358" s="491"/>
    </row>
    <row r="359" spans="1:9">
      <c r="D359" s="1302"/>
      <c r="E359" s="1302"/>
      <c r="F359" s="1302"/>
      <c r="I359" s="491"/>
    </row>
    <row r="360" spans="1:9">
      <c r="A360" s="485"/>
      <c r="B360" s="486" t="s">
        <v>2762</v>
      </c>
      <c r="C360" s="477"/>
      <c r="D360" s="1319" t="s">
        <v>2059</v>
      </c>
      <c r="E360" s="1319"/>
      <c r="F360" s="1319"/>
      <c r="I360" s="481"/>
    </row>
    <row r="361" spans="1:9">
      <c r="A361" s="477"/>
      <c r="B361" s="477"/>
      <c r="C361" s="477"/>
      <c r="D361" s="448"/>
      <c r="E361" s="448"/>
      <c r="F361" s="447"/>
      <c r="I361" s="491"/>
    </row>
    <row r="362" spans="1:9">
      <c r="A362" s="477"/>
      <c r="B362" s="486" t="s">
        <v>2762</v>
      </c>
      <c r="C362" s="477"/>
      <c r="D362" s="1273" t="s">
        <v>2060</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 customHeight="1">
      <c r="A375" s="477"/>
      <c r="B375" s="486" t="s">
        <v>2762</v>
      </c>
      <c r="C375" s="477"/>
      <c r="D375" s="1281" t="s">
        <v>1222</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2762</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2762</v>
      </c>
      <c r="C387" s="477"/>
      <c r="D387" s="1273" t="s">
        <v>1134</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1135</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75" customHeight="1">
      <c r="A401" s="477"/>
      <c r="B401" s="477"/>
      <c r="C401" s="477"/>
      <c r="D401" s="1273" t="s">
        <v>1136</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2762</v>
      </c>
      <c r="C420" s="477"/>
      <c r="D420" s="1273" t="s">
        <v>1137</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 customHeight="1">
      <c r="A423" s="485"/>
      <c r="B423" s="486" t="s">
        <v>2762</v>
      </c>
      <c r="D423" s="1273" t="s">
        <v>1883</v>
      </c>
      <c r="E423" s="1273"/>
      <c r="F423" s="1273"/>
      <c r="I423" s="491"/>
    </row>
    <row r="424" spans="1:9" ht="14.5" customHeight="1">
      <c r="A424" s="485"/>
      <c r="D424" s="1273"/>
      <c r="E424" s="1273"/>
      <c r="F424" s="1273"/>
      <c r="I424" s="491"/>
    </row>
    <row r="425" spans="1:9" ht="14.5" customHeight="1">
      <c r="A425" s="485"/>
      <c r="D425" s="1273"/>
      <c r="E425" s="1273"/>
      <c r="F425" s="1273"/>
      <c r="I425" s="491"/>
    </row>
    <row r="426" spans="1:9" ht="14.5" customHeight="1">
      <c r="A426" s="485"/>
      <c r="D426" s="1273"/>
      <c r="E426" s="1273"/>
      <c r="F426" s="1273"/>
      <c r="I426" s="491"/>
    </row>
    <row r="427" spans="1:9" ht="14.5" customHeight="1">
      <c r="A427" s="485"/>
      <c r="D427" s="1273"/>
      <c r="E427" s="1273"/>
      <c r="F427" s="1273"/>
      <c r="I427" s="491"/>
    </row>
    <row r="428" spans="1:9" ht="14.5" customHeight="1">
      <c r="A428" s="485"/>
      <c r="D428" s="386"/>
      <c r="E428" s="386"/>
      <c r="F428" s="386"/>
      <c r="I428" s="491"/>
    </row>
    <row r="429" spans="1:9" ht="13.75" customHeight="1">
      <c r="A429" s="485"/>
      <c r="B429" s="486" t="s">
        <v>2762</v>
      </c>
      <c r="C429" s="477"/>
      <c r="D429" s="1273" t="s">
        <v>1241</v>
      </c>
      <c r="E429" s="1273"/>
      <c r="F429" s="1273"/>
      <c r="I429" s="491"/>
    </row>
    <row r="430" spans="1:9">
      <c r="A430" s="498"/>
      <c r="B430" s="498"/>
      <c r="C430" s="477"/>
      <c r="D430" s="1273"/>
      <c r="E430" s="1273"/>
      <c r="F430" s="1273"/>
      <c r="I430" s="491"/>
    </row>
    <row r="431" spans="1:9">
      <c r="A431" s="498"/>
      <c r="B431" s="498"/>
      <c r="C431" s="477"/>
      <c r="D431" s="1273"/>
      <c r="E431" s="1273"/>
      <c r="F431" s="1273"/>
      <c r="I431" s="491"/>
    </row>
    <row r="432" spans="1:9">
      <c r="A432" s="498"/>
      <c r="B432" s="498"/>
      <c r="C432" s="477"/>
      <c r="D432" s="1273"/>
      <c r="E432" s="1273"/>
      <c r="F432" s="1273"/>
      <c r="I432" s="491"/>
    </row>
    <row r="433" spans="1:9" ht="15.75" customHeight="1">
      <c r="A433" s="498"/>
      <c r="B433" s="498"/>
      <c r="C433" s="477"/>
      <c r="D433" s="1331" t="s">
        <v>2076</v>
      </c>
      <c r="E433" s="1273"/>
      <c r="F433" s="1273"/>
      <c r="I433" s="491"/>
    </row>
    <row r="434" spans="1:9">
      <c r="D434" s="447"/>
      <c r="E434" s="447"/>
      <c r="F434" s="447"/>
      <c r="I434" s="491"/>
    </row>
    <row r="435" spans="1:9">
      <c r="A435" s="485"/>
      <c r="B435" s="486" t="s">
        <v>2762</v>
      </c>
      <c r="C435" s="488"/>
      <c r="D435" s="1302" t="s">
        <v>2061</v>
      </c>
      <c r="E435" s="1302"/>
      <c r="F435" s="1302"/>
      <c r="I435" s="491"/>
    </row>
    <row r="436" spans="1:9">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5" customHeight="1">
      <c r="D465" s="1302"/>
      <c r="E465" s="1302"/>
      <c r="F465" s="1302"/>
      <c r="I465" s="491"/>
    </row>
    <row r="466" spans="1:9">
      <c r="D466" s="447"/>
      <c r="E466" s="447"/>
      <c r="F466" s="447"/>
      <c r="I466" s="491"/>
    </row>
    <row r="467" spans="1:9">
      <c r="A467" s="485"/>
      <c r="B467" s="486" t="s">
        <v>2762</v>
      </c>
      <c r="C467" s="488"/>
      <c r="D467" s="1302" t="s">
        <v>1138</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c r="B471" s="486" t="s">
        <v>2762</v>
      </c>
      <c r="C471" s="485"/>
      <c r="D471" s="1302" t="s">
        <v>1198</v>
      </c>
      <c r="E471" s="1302"/>
      <c r="F471" s="1302"/>
      <c r="I471" s="491"/>
    </row>
    <row r="472" spans="1:9">
      <c r="D472" s="1302"/>
      <c r="E472" s="1302"/>
      <c r="F472" s="1302"/>
      <c r="I472" s="491"/>
    </row>
    <row r="473" spans="1:9">
      <c r="D473" s="447"/>
      <c r="E473" s="447"/>
      <c r="F473" s="447"/>
      <c r="I473" s="491"/>
    </row>
    <row r="474" spans="1:9">
      <c r="B474" s="486" t="s">
        <v>2762</v>
      </c>
      <c r="C474" s="485"/>
      <c r="D474" s="1302" t="s">
        <v>1139</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2762</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2762</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2762</v>
      </c>
      <c r="C486" s="403"/>
      <c r="D486" s="1302"/>
      <c r="E486" s="1302"/>
      <c r="F486" s="1302"/>
      <c r="I486" s="491"/>
    </row>
    <row r="487" spans="1:9">
      <c r="A487" s="403"/>
      <c r="C487" s="403"/>
      <c r="D487" s="1302"/>
      <c r="E487" s="1302"/>
      <c r="F487" s="1302"/>
      <c r="I487" s="491"/>
    </row>
    <row r="488" spans="1:9">
      <c r="A488" s="403"/>
      <c r="B488" s="486" t="s">
        <v>2762</v>
      </c>
      <c r="C488" s="403"/>
      <c r="D488" s="1302" t="s">
        <v>1140</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2762</v>
      </c>
      <c r="D494" s="1300" t="s">
        <v>1141</v>
      </c>
      <c r="E494" s="1300"/>
      <c r="F494" s="1300"/>
      <c r="I494" s="491"/>
    </row>
    <row r="495" spans="1:9">
      <c r="A495" s="447"/>
      <c r="B495" s="447"/>
      <c r="I495" s="491"/>
    </row>
    <row r="496" spans="1:9">
      <c r="A496" s="1309" t="s">
        <v>1051</v>
      </c>
      <c r="B496" s="1309"/>
      <c r="C496" s="1309"/>
      <c r="D496" s="1309"/>
      <c r="E496" s="1309"/>
      <c r="F496" s="1309"/>
      <c r="G496" s="1309"/>
      <c r="H496" s="1029"/>
      <c r="I496" s="1155"/>
    </row>
    <row r="497" spans="1:9">
      <c r="A497" s="447"/>
      <c r="B497" s="447"/>
      <c r="I497" s="491"/>
    </row>
    <row r="498" spans="1:9">
      <c r="D498" s="1328" t="s">
        <v>884</v>
      </c>
      <c r="E498" s="1328"/>
      <c r="F498" s="1328"/>
      <c r="I498" s="491"/>
    </row>
    <row r="499" spans="1:9">
      <c r="A499" s="485"/>
      <c r="B499" s="485"/>
      <c r="D499" s="1319" t="s">
        <v>1142</v>
      </c>
      <c r="E499" s="1319"/>
      <c r="F499" s="1319"/>
      <c r="I499" s="491"/>
    </row>
    <row r="500" spans="1:9">
      <c r="A500" s="485"/>
      <c r="B500" s="485"/>
      <c r="D500" s="448"/>
      <c r="I500" s="491"/>
    </row>
    <row r="501" spans="1:9">
      <c r="A501" s="485"/>
      <c r="B501" s="486" t="s">
        <v>2762</v>
      </c>
      <c r="D501" s="1273" t="s">
        <v>1143</v>
      </c>
      <c r="E501" s="1273"/>
      <c r="F501" s="1273"/>
      <c r="I501" s="491"/>
    </row>
    <row r="502" spans="1:9">
      <c r="A502" s="485"/>
      <c r="B502" s="485"/>
      <c r="D502" s="1273"/>
      <c r="E502" s="1273"/>
      <c r="F502" s="1273"/>
      <c r="I502" s="491"/>
    </row>
    <row r="503" spans="1:9">
      <c r="A503" s="485"/>
      <c r="B503" s="485"/>
      <c r="D503" s="447"/>
      <c r="I503" s="491"/>
    </row>
    <row r="504" spans="1:9" ht="12.75" customHeight="1">
      <c r="B504" s="486" t="s">
        <v>2762</v>
      </c>
      <c r="D504" s="1314" t="s">
        <v>1274</v>
      </c>
      <c r="E504" s="1314"/>
      <c r="F504" s="1314"/>
      <c r="I504" s="491"/>
    </row>
    <row r="505" spans="1:9">
      <c r="A505" s="485"/>
      <c r="D505" s="1314"/>
      <c r="E505" s="1314"/>
      <c r="F505" s="1314"/>
      <c r="I505" s="491"/>
    </row>
    <row r="506" spans="1:9">
      <c r="A506" s="485"/>
      <c r="B506" s="485"/>
      <c r="D506" s="1314"/>
      <c r="E506" s="1314"/>
      <c r="F506" s="1314"/>
      <c r="I506" s="491"/>
    </row>
    <row r="507" spans="1:9">
      <c r="A507" s="485"/>
      <c r="B507" s="485"/>
      <c r="D507" s="1314"/>
      <c r="E507" s="1314"/>
      <c r="F507" s="1314"/>
      <c r="I507" s="491"/>
    </row>
    <row r="508" spans="1:9">
      <c r="A508" s="485"/>
      <c r="D508" s="521"/>
      <c r="E508" s="521"/>
      <c r="F508" s="521"/>
      <c r="I508" s="491"/>
    </row>
    <row r="509" spans="1:9">
      <c r="A509" s="485"/>
      <c r="B509" s="486" t="s">
        <v>2762</v>
      </c>
      <c r="D509" s="1300" t="s">
        <v>1144</v>
      </c>
      <c r="E509" s="1300"/>
      <c r="F509" s="1300"/>
      <c r="I509" s="491"/>
    </row>
    <row r="510" spans="1:9">
      <c r="A510" s="485"/>
      <c r="B510" s="485"/>
      <c r="D510" s="447"/>
      <c r="I510" s="491"/>
    </row>
    <row r="511" spans="1:9">
      <c r="A511" s="485"/>
      <c r="B511" s="486" t="s">
        <v>2762</v>
      </c>
      <c r="D511" s="1302" t="s">
        <v>1145</v>
      </c>
      <c r="E511" s="1302"/>
      <c r="F511" s="1302"/>
      <c r="I511" s="491"/>
    </row>
    <row r="512" spans="1:9">
      <c r="A512" s="485"/>
      <c r="D512" s="1302"/>
      <c r="E512" s="1302"/>
      <c r="F512" s="1302"/>
      <c r="I512" s="491"/>
    </row>
    <row r="513" spans="1:9">
      <c r="A513" s="491"/>
      <c r="B513" s="491"/>
      <c r="D513" s="448"/>
      <c r="I513" s="491"/>
    </row>
    <row r="514" spans="1:9">
      <c r="A514" s="491"/>
      <c r="B514" s="486" t="s">
        <v>2762</v>
      </c>
      <c r="D514" s="1300" t="s">
        <v>1146</v>
      </c>
      <c r="E514" s="1300"/>
      <c r="F514" s="1300"/>
      <c r="I514" s="491"/>
    </row>
    <row r="515" spans="1:9">
      <c r="D515" s="447"/>
      <c r="E515" s="447"/>
      <c r="F515" s="447"/>
      <c r="I515" s="491"/>
    </row>
    <row r="516" spans="1:9">
      <c r="B516" s="486" t="s">
        <v>2762</v>
      </c>
      <c r="D516" s="1302" t="s">
        <v>2284</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c r="A520" s="485"/>
      <c r="B520" s="485"/>
      <c r="D520" s="447"/>
      <c r="I520" s="491"/>
    </row>
    <row r="521" spans="1:9">
      <c r="A521" s="1309" t="s">
        <v>1052</v>
      </c>
      <c r="B521" s="1309"/>
      <c r="C521" s="1309"/>
      <c r="D521" s="1309"/>
      <c r="E521" s="1309"/>
      <c r="F521" s="1309"/>
      <c r="G521" s="1309"/>
      <c r="H521" s="1029"/>
      <c r="I521" s="1155"/>
    </row>
    <row r="522" spans="1:9" ht="12" customHeight="1">
      <c r="A522" s="485"/>
      <c r="B522" s="485"/>
      <c r="D522" s="447"/>
      <c r="I522" s="491"/>
    </row>
    <row r="523" spans="1:9">
      <c r="C523" s="483"/>
      <c r="D523" s="1310" t="s">
        <v>794</v>
      </c>
      <c r="E523" s="1310"/>
      <c r="F523" s="131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2761</v>
      </c>
      <c r="C527" s="484"/>
      <c r="D527" s="1273" t="s">
        <v>2062</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2761</v>
      </c>
      <c r="D530" s="387" t="s">
        <v>1905</v>
      </c>
      <c r="E530" s="386"/>
      <c r="F530" s="386"/>
      <c r="I530" s="491"/>
    </row>
    <row r="531" spans="1:9">
      <c r="A531" s="484"/>
      <c r="B531" s="484"/>
      <c r="C531" s="484"/>
      <c r="D531" s="386"/>
      <c r="E531" s="96" t="s">
        <v>1906</v>
      </c>
      <c r="I531" s="491"/>
    </row>
    <row r="532" spans="1:9">
      <c r="A532" s="484"/>
      <c r="B532" s="484"/>
      <c r="D532" s="1281" t="s">
        <v>2063</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15" customHeight="1">
      <c r="A536" s="484"/>
      <c r="B536" s="486" t="s">
        <v>2762</v>
      </c>
      <c r="C536" s="484"/>
      <c r="D536" s="1302" t="s">
        <v>2064</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1053</v>
      </c>
      <c r="B539" s="1309"/>
      <c r="C539" s="1309"/>
      <c r="D539" s="1309"/>
      <c r="E539" s="1309"/>
      <c r="F539" s="1309"/>
      <c r="G539" s="1309"/>
      <c r="H539" s="1029"/>
      <c r="I539" s="1155"/>
    </row>
    <row r="540" spans="1:9">
      <c r="A540" s="447"/>
      <c r="B540" s="447"/>
      <c r="C540" s="488"/>
      <c r="F540" s="449"/>
      <c r="I540" s="491"/>
    </row>
    <row r="541" spans="1:9">
      <c r="B541" s="1304" t="s">
        <v>447</v>
      </c>
      <c r="C541" s="1304"/>
      <c r="D541" s="1304"/>
      <c r="E541" s="1304"/>
      <c r="F541" s="1304"/>
      <c r="I541" s="491"/>
    </row>
    <row r="542" spans="1:9">
      <c r="A542" s="447"/>
      <c r="B542" s="447"/>
      <c r="C542" s="488"/>
      <c r="D542" s="447"/>
      <c r="F542" s="447"/>
      <c r="I542" s="491"/>
    </row>
    <row r="543" spans="1:9">
      <c r="A543" s="1301" t="s">
        <v>1054</v>
      </c>
      <c r="B543" s="1301"/>
      <c r="C543" s="1301"/>
      <c r="D543" s="1301"/>
      <c r="E543" s="1301"/>
      <c r="F543" s="1301"/>
      <c r="G543" s="1301"/>
      <c r="H543" s="1029"/>
      <c r="I543" s="1155"/>
    </row>
    <row r="544" spans="1:9">
      <c r="A544" s="447"/>
      <c r="B544" s="447"/>
      <c r="C544" s="488"/>
      <c r="D544" s="447"/>
      <c r="F544" s="447"/>
      <c r="I544" s="491"/>
    </row>
    <row r="545" spans="1:9">
      <c r="C545" s="488"/>
      <c r="D545" s="1310" t="s">
        <v>684</v>
      </c>
      <c r="E545" s="1310"/>
      <c r="F545" s="1310"/>
      <c r="I545" s="491"/>
    </row>
    <row r="546" spans="1:9">
      <c r="C546" s="488"/>
      <c r="D546" s="1300" t="s">
        <v>1082</v>
      </c>
      <c r="E546" s="1300"/>
      <c r="F546" s="1300"/>
      <c r="I546" s="491"/>
    </row>
    <row r="547" spans="1:9">
      <c r="C547" s="488"/>
      <c r="D547" s="447"/>
      <c r="E547" s="447"/>
      <c r="F547" s="447"/>
      <c r="I547" s="491"/>
    </row>
    <row r="548" spans="1:9" ht="13.75" customHeight="1">
      <c r="A548" s="485"/>
      <c r="B548" s="486" t="s">
        <v>2761</v>
      </c>
      <c r="C548" s="488"/>
      <c r="D548" s="1300" t="s">
        <v>885</v>
      </c>
      <c r="E548" s="1300"/>
      <c r="F548" s="1300"/>
      <c r="I548" s="491"/>
    </row>
    <row r="549" spans="1:9" ht="13.75" customHeight="1">
      <c r="A549" s="488"/>
      <c r="B549" s="488"/>
      <c r="C549" s="488"/>
      <c r="D549" s="447"/>
      <c r="I549" s="491"/>
    </row>
    <row r="550" spans="1:9">
      <c r="A550" s="485"/>
      <c r="B550" s="486" t="s">
        <v>2761</v>
      </c>
      <c r="C550" s="488"/>
      <c r="D550" s="1302" t="s">
        <v>1083</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c r="A553" s="485"/>
      <c r="B553" s="486" t="s">
        <v>2761</v>
      </c>
      <c r="C553" s="488"/>
      <c r="D553" s="1302" t="s">
        <v>1084</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c r="A556" s="485"/>
      <c r="B556" s="486" t="s">
        <v>2761</v>
      </c>
      <c r="C556" s="488"/>
      <c r="D556" s="1302" t="s">
        <v>1085</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c r="A559" s="485"/>
      <c r="B559" s="486" t="s">
        <v>2761</v>
      </c>
      <c r="C559" s="488"/>
      <c r="D559" s="1302" t="s">
        <v>1086</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c r="A563" s="485"/>
      <c r="B563" s="486" t="s">
        <v>2761</v>
      </c>
      <c r="C563" s="488"/>
      <c r="D563" s="1302" t="s">
        <v>2251</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c r="A566" s="485"/>
      <c r="B566" s="486" t="s">
        <v>2761</v>
      </c>
      <c r="C566" s="488"/>
      <c r="D566" s="1302" t="s">
        <v>1087</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c r="A569" s="485"/>
      <c r="B569" s="486" t="s">
        <v>2761</v>
      </c>
      <c r="C569" s="488"/>
      <c r="D569" s="1300" t="s">
        <v>1088</v>
      </c>
      <c r="E569" s="1300"/>
      <c r="F569" s="1300"/>
      <c r="I569" s="491"/>
    </row>
    <row r="570" spans="1:9">
      <c r="A570" s="491"/>
      <c r="B570" s="491"/>
      <c r="C570" s="488"/>
      <c r="D570" s="1300" t="s">
        <v>1908</v>
      </c>
      <c r="E570" s="1300"/>
      <c r="F570" s="1300"/>
      <c r="I570" s="491"/>
    </row>
    <row r="571" spans="1:9">
      <c r="A571" s="491"/>
      <c r="B571" s="491"/>
      <c r="C571" s="488"/>
      <c r="E571" s="96" t="s">
        <v>1907</v>
      </c>
      <c r="F571" s="405"/>
      <c r="I571" s="491"/>
    </row>
    <row r="572" spans="1:9">
      <c r="A572" s="485"/>
      <c r="B572" s="485"/>
      <c r="C572" s="488"/>
      <c r="E572" s="447"/>
      <c r="F572" s="447"/>
      <c r="I572" s="491"/>
    </row>
    <row r="573" spans="1:9">
      <c r="A573" s="485"/>
      <c r="B573" s="486" t="s">
        <v>2761</v>
      </c>
      <c r="C573" s="488"/>
      <c r="D573" s="1300" t="s">
        <v>1089</v>
      </c>
      <c r="E573" s="1300"/>
      <c r="F573" s="1300"/>
      <c r="I573" s="491"/>
    </row>
    <row r="574" spans="1:9">
      <c r="C574" s="488"/>
      <c r="D574" s="1302" t="s">
        <v>1090</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c r="A578" s="485"/>
      <c r="B578" s="486" t="s">
        <v>2761</v>
      </c>
      <c r="C578" s="488"/>
      <c r="D578" s="1302" t="s">
        <v>2065</v>
      </c>
      <c r="E578" s="1302"/>
      <c r="F578" s="1302"/>
      <c r="I578" s="491"/>
    </row>
    <row r="579" spans="1:9">
      <c r="A579" s="485"/>
      <c r="B579" s="485"/>
      <c r="C579" s="488"/>
      <c r="D579" s="1302"/>
      <c r="E579" s="1302"/>
      <c r="F579" s="1302"/>
      <c r="I579" s="491"/>
    </row>
    <row r="580" spans="1:9">
      <c r="A580" s="485"/>
      <c r="B580" s="485"/>
      <c r="C580" s="488"/>
      <c r="D580" s="1302"/>
      <c r="E580" s="1302"/>
      <c r="F580" s="1302"/>
      <c r="I580" s="491"/>
    </row>
    <row r="581" spans="1:9">
      <c r="A581" s="485"/>
      <c r="B581" s="485"/>
      <c r="C581" s="488"/>
      <c r="D581" s="1302"/>
      <c r="E581" s="1302"/>
      <c r="F581" s="1302"/>
      <c r="I581" s="491"/>
    </row>
    <row r="582" spans="1:9">
      <c r="A582" s="485"/>
      <c r="B582" s="485"/>
      <c r="C582" s="488"/>
      <c r="D582" s="447"/>
      <c r="E582" s="447"/>
      <c r="F582" s="447"/>
      <c r="I582" s="491"/>
    </row>
    <row r="583" spans="1:9">
      <c r="A583" s="1309" t="s">
        <v>1055</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210</v>
      </c>
      <c r="E585" s="1318"/>
      <c r="F585" s="1318"/>
      <c r="I585" s="491"/>
    </row>
    <row r="586" spans="1:9">
      <c r="A586" s="484"/>
      <c r="B586" s="484"/>
      <c r="C586" s="484"/>
      <c r="D586" s="1314" t="s">
        <v>1068</v>
      </c>
      <c r="E586" s="1314"/>
      <c r="F586" s="1314"/>
      <c r="I586" s="491"/>
    </row>
    <row r="587" spans="1:9">
      <c r="A587" s="403"/>
      <c r="B587" s="403"/>
      <c r="C587" s="484"/>
      <c r="D587" s="500"/>
      <c r="I587" s="491"/>
    </row>
    <row r="588" spans="1:9">
      <c r="A588" s="484"/>
      <c r="B588" s="486" t="s">
        <v>2761</v>
      </c>
      <c r="D588" s="1314" t="s">
        <v>889</v>
      </c>
      <c r="E588" s="1314"/>
      <c r="F588" s="1314"/>
      <c r="I588" s="491"/>
    </row>
    <row r="589" spans="1:9">
      <c r="A589" s="491"/>
      <c r="B589" s="491"/>
      <c r="D589" s="477"/>
      <c r="I589" s="491"/>
    </row>
    <row r="590" spans="1:9">
      <c r="A590" s="491"/>
      <c r="B590" s="486" t="s">
        <v>2761</v>
      </c>
      <c r="D590" s="1314" t="s">
        <v>2066</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2762</v>
      </c>
      <c r="D594" s="1314" t="s">
        <v>1069</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2761</v>
      </c>
      <c r="D599" s="1314" t="s">
        <v>2067</v>
      </c>
      <c r="E599" s="1314"/>
      <c r="F599" s="1314"/>
      <c r="I599" s="491"/>
    </row>
    <row r="600" spans="1:9">
      <c r="A600" s="491"/>
      <c r="B600" s="491"/>
      <c r="D600" s="1314"/>
      <c r="E600" s="1314"/>
      <c r="F600" s="1314"/>
      <c r="I600" s="491"/>
    </row>
    <row r="601" spans="1:9">
      <c r="A601" s="491"/>
      <c r="B601" s="491"/>
      <c r="D601" s="500"/>
      <c r="I601" s="491"/>
    </row>
    <row r="602" spans="1:9">
      <c r="A602" s="491"/>
      <c r="B602" s="486" t="s">
        <v>2762</v>
      </c>
      <c r="D602" s="1314" t="s">
        <v>1070</v>
      </c>
      <c r="E602" s="1314"/>
      <c r="F602" s="1314"/>
      <c r="I602" s="491"/>
    </row>
    <row r="603" spans="1:9">
      <c r="A603" s="491"/>
      <c r="B603" s="491"/>
      <c r="D603" s="1314"/>
      <c r="E603" s="1314"/>
      <c r="F603" s="1314"/>
      <c r="I603" s="491"/>
    </row>
    <row r="604" spans="1:9">
      <c r="A604" s="485"/>
      <c r="B604" s="485"/>
      <c r="D604" s="500"/>
      <c r="I604" s="491"/>
    </row>
    <row r="605" spans="1:9">
      <c r="A605" s="1309" t="s">
        <v>1056</v>
      </c>
      <c r="B605" s="1309"/>
      <c r="C605" s="1309"/>
      <c r="D605" s="1309"/>
      <c r="E605" s="1309"/>
      <c r="F605" s="1309"/>
      <c r="G605" s="1309"/>
      <c r="H605" s="1029"/>
      <c r="I605" s="1155"/>
    </row>
    <row r="606" spans="1:9">
      <c r="I606" s="491"/>
    </row>
    <row r="607" spans="1:9">
      <c r="D607" s="1310" t="s">
        <v>1108</v>
      </c>
      <c r="E607" s="1310"/>
      <c r="F607" s="1310"/>
      <c r="I607" s="491"/>
    </row>
    <row r="608" spans="1:9">
      <c r="D608" s="1282" t="s">
        <v>1109</v>
      </c>
      <c r="E608" s="1282"/>
      <c r="F608" s="1282"/>
      <c r="I608" s="491"/>
    </row>
    <row r="609" spans="1:9">
      <c r="D609" s="445"/>
      <c r="I609" s="491"/>
    </row>
    <row r="610" spans="1:9" ht="14.25" customHeight="1">
      <c r="A610" s="485"/>
      <c r="B610" s="486" t="s">
        <v>2761</v>
      </c>
      <c r="D610" s="1315" t="s">
        <v>1909</v>
      </c>
      <c r="E610" s="1315"/>
      <c r="F610" s="1315"/>
      <c r="I610" s="491"/>
    </row>
    <row r="611" spans="1:9">
      <c r="D611" s="1315"/>
      <c r="E611" s="1315"/>
      <c r="F611" s="1315"/>
      <c r="I611" s="491"/>
    </row>
    <row r="612" spans="1:9">
      <c r="D612" s="386"/>
      <c r="E612" s="1037" t="s">
        <v>1910</v>
      </c>
      <c r="F612" s="386"/>
      <c r="I612" s="491"/>
    </row>
    <row r="613" spans="1:9">
      <c r="I613" s="491"/>
    </row>
    <row r="614" spans="1:9">
      <c r="A614" s="1309" t="s">
        <v>1057</v>
      </c>
      <c r="B614" s="1309"/>
      <c r="C614" s="1309"/>
      <c r="D614" s="1309"/>
      <c r="E614" s="1309"/>
      <c r="F614" s="1309"/>
      <c r="G614" s="1309"/>
      <c r="H614" s="1029"/>
      <c r="I614" s="1155"/>
    </row>
    <row r="615" spans="1:9">
      <c r="A615" s="447"/>
      <c r="B615" s="447"/>
      <c r="I615" s="491"/>
    </row>
    <row r="616" spans="1:9">
      <c r="A616" s="483"/>
      <c r="B616" s="483"/>
      <c r="C616" s="483"/>
      <c r="D616" s="1299" t="s">
        <v>1110</v>
      </c>
      <c r="E616" s="1299"/>
      <c r="F616" s="1299"/>
      <c r="I616" s="491"/>
    </row>
    <row r="617" spans="1:9">
      <c r="A617" s="483"/>
      <c r="B617" s="483"/>
      <c r="C617" s="483"/>
      <c r="D617" s="1299"/>
      <c r="E617" s="1299"/>
      <c r="F617" s="1299"/>
      <c r="I617" s="491"/>
    </row>
    <row r="618" spans="1:9">
      <c r="C618" s="484"/>
      <c r="D618" s="1282" t="s">
        <v>1111</v>
      </c>
      <c r="E618" s="1282"/>
      <c r="F618" s="1282"/>
      <c r="I618" s="491"/>
    </row>
    <row r="619" spans="1:9">
      <c r="C619" s="484"/>
      <c r="D619" s="445"/>
      <c r="E619" s="445"/>
      <c r="F619" s="445"/>
      <c r="I619" s="491"/>
    </row>
    <row r="620" spans="1:9" ht="12.75" customHeight="1">
      <c r="A620" s="491"/>
      <c r="B620" s="486" t="s">
        <v>2761</v>
      </c>
      <c r="D620" s="1308" t="s">
        <v>1112</v>
      </c>
      <c r="E620" s="1308"/>
      <c r="F620" s="1308"/>
      <c r="I620" s="491"/>
    </row>
    <row r="621" spans="1:9">
      <c r="D621" s="1308"/>
      <c r="E621" s="1308"/>
      <c r="F621" s="1308"/>
      <c r="I621" s="491"/>
    </row>
    <row r="622" spans="1:9">
      <c r="I622" s="491"/>
    </row>
    <row r="623" spans="1:9">
      <c r="B623" s="486" t="s">
        <v>2761</v>
      </c>
      <c r="D623" s="1308" t="s">
        <v>1113</v>
      </c>
      <c r="E623" s="1308"/>
      <c r="F623" s="1308"/>
      <c r="I623" s="491"/>
    </row>
    <row r="624" spans="1:9">
      <c r="C624" s="501"/>
      <c r="D624" s="1308"/>
      <c r="E624" s="1308"/>
      <c r="F624" s="1308"/>
      <c r="I624" s="491"/>
    </row>
    <row r="625" spans="1:9">
      <c r="C625" s="501"/>
      <c r="I625" s="491"/>
    </row>
    <row r="626" spans="1:9">
      <c r="B626" s="486" t="s">
        <v>2761</v>
      </c>
      <c r="C626" s="501"/>
      <c r="D626" s="1308" t="s">
        <v>1114</v>
      </c>
      <c r="E626" s="1308"/>
      <c r="F626" s="1308"/>
      <c r="I626" s="491"/>
    </row>
    <row r="627" spans="1:9">
      <c r="C627" s="501"/>
      <c r="D627" s="1308"/>
      <c r="E627" s="1308"/>
      <c r="F627" s="1308"/>
      <c r="I627" s="501"/>
    </row>
    <row r="628" spans="1:9">
      <c r="C628" s="501"/>
      <c r="I628" s="491"/>
    </row>
    <row r="629" spans="1:9">
      <c r="A629" s="1309" t="s">
        <v>1058</v>
      </c>
      <c r="B629" s="1309"/>
      <c r="C629" s="1309"/>
      <c r="D629" s="1309"/>
      <c r="E629" s="1309"/>
      <c r="F629" s="1309"/>
      <c r="G629" s="1309"/>
      <c r="H629" s="1029"/>
      <c r="I629" s="1155"/>
    </row>
    <row r="630" spans="1:9">
      <c r="A630" s="483"/>
      <c r="B630" s="483"/>
      <c r="C630" s="483"/>
      <c r="I630" s="491"/>
    </row>
    <row r="631" spans="1:9">
      <c r="C631" s="491"/>
      <c r="D631" s="1310" t="s">
        <v>1115</v>
      </c>
      <c r="E631" s="1310"/>
      <c r="F631" s="1310"/>
      <c r="I631" s="491"/>
    </row>
    <row r="632" spans="1:9">
      <c r="A632" s="491"/>
      <c r="B632" s="491"/>
      <c r="D632" s="405"/>
      <c r="I632" s="491"/>
    </row>
    <row r="633" spans="1:9" ht="14.25" customHeight="1">
      <c r="A633" s="485"/>
      <c r="B633" s="486" t="s">
        <v>2761</v>
      </c>
      <c r="D633" s="1315" t="s">
        <v>2068</v>
      </c>
      <c r="E633" s="1315"/>
      <c r="F633" s="1315"/>
      <c r="I633" s="491"/>
    </row>
    <row r="634" spans="1:9">
      <c r="D634" s="1315"/>
      <c r="E634" s="1315"/>
      <c r="F634" s="1315"/>
      <c r="I634" s="491"/>
    </row>
    <row r="635" spans="1:9">
      <c r="D635" s="386"/>
      <c r="E635" s="1037" t="s">
        <v>1912</v>
      </c>
      <c r="F635" s="386"/>
      <c r="I635" s="491"/>
    </row>
    <row r="636" spans="1:9">
      <c r="D636" s="1302" t="s">
        <v>1911</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c r="A640" s="485"/>
      <c r="B640" s="486" t="s">
        <v>2762</v>
      </c>
      <c r="D640" s="1302" t="s">
        <v>1116</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c r="A643" s="485"/>
      <c r="B643" s="486" t="s">
        <v>2762</v>
      </c>
      <c r="C643" s="488"/>
      <c r="D643" s="1302" t="s">
        <v>1226</v>
      </c>
      <c r="E643" s="1302"/>
      <c r="F643" s="1302"/>
      <c r="I643" s="491"/>
    </row>
    <row r="644" spans="1:9">
      <c r="A644" s="485"/>
      <c r="B644" s="485"/>
      <c r="C644" s="488"/>
      <c r="D644" s="1302"/>
      <c r="E644" s="1302"/>
      <c r="F644" s="1302"/>
      <c r="I644" s="491"/>
    </row>
    <row r="645" spans="1:9">
      <c r="A645" s="485"/>
      <c r="B645" s="485"/>
      <c r="C645" s="488"/>
      <c r="D645" s="1302"/>
      <c r="E645" s="1302"/>
      <c r="F645" s="1302"/>
      <c r="I645" s="491"/>
    </row>
    <row r="646" spans="1:9">
      <c r="A646" s="488"/>
      <c r="B646" s="486" t="s">
        <v>2762</v>
      </c>
      <c r="C646" s="488"/>
      <c r="D646" s="1300" t="s">
        <v>1117</v>
      </c>
      <c r="E646" s="1300"/>
      <c r="F646" s="1300"/>
      <c r="I646" s="491"/>
    </row>
    <row r="647" spans="1:9">
      <c r="A647" s="488"/>
      <c r="B647" s="488"/>
      <c r="C647" s="488"/>
      <c r="D647" s="447"/>
      <c r="E647" s="447"/>
      <c r="F647" s="447"/>
      <c r="I647" s="491"/>
    </row>
    <row r="648" spans="1:9">
      <c r="A648" s="1309" t="s">
        <v>1059</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1147</v>
      </c>
      <c r="E650" s="1310"/>
      <c r="F650" s="1310"/>
      <c r="I650" s="491"/>
    </row>
    <row r="651" spans="1:9">
      <c r="A651" s="484"/>
      <c r="B651" s="484"/>
      <c r="C651" s="484"/>
      <c r="D651" s="1300" t="s">
        <v>1148</v>
      </c>
      <c r="E651" s="1300"/>
      <c r="F651" s="1300"/>
      <c r="I651" s="491"/>
    </row>
    <row r="652" spans="1:9">
      <c r="A652" s="484"/>
      <c r="B652" s="484"/>
      <c r="C652" s="484"/>
      <c r="D652" s="447"/>
      <c r="E652" s="447"/>
      <c r="F652" s="447"/>
      <c r="I652" s="491"/>
    </row>
    <row r="653" spans="1:9" ht="12.75" customHeight="1">
      <c r="B653" s="486" t="s">
        <v>2762</v>
      </c>
      <c r="C653" s="488"/>
      <c r="D653" s="1302" t="s">
        <v>1282</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 customHeight="1">
      <c r="A657" s="485"/>
      <c r="B657" s="485"/>
      <c r="C657" s="488"/>
      <c r="D657" s="386"/>
      <c r="E657" s="386"/>
      <c r="F657" s="386"/>
      <c r="I657" s="491"/>
    </row>
    <row r="658" spans="1:9" ht="12.75" customHeight="1">
      <c r="A658" s="484"/>
      <c r="B658" s="486" t="s">
        <v>2762</v>
      </c>
      <c r="C658" s="488"/>
      <c r="D658" s="1302" t="s">
        <v>1284</v>
      </c>
      <c r="E658" s="1302"/>
      <c r="F658" s="1302"/>
      <c r="I658" s="491"/>
    </row>
    <row r="659" spans="1:9">
      <c r="A659" s="484"/>
      <c r="B659" s="485"/>
      <c r="C659" s="488"/>
      <c r="D659" s="1302"/>
      <c r="E659" s="1302"/>
      <c r="F659" s="1302"/>
      <c r="I659" s="491"/>
    </row>
    <row r="660" spans="1:9">
      <c r="A660" s="484"/>
      <c r="B660" s="485"/>
      <c r="C660" s="488"/>
      <c r="D660" s="1302"/>
      <c r="E660" s="1302"/>
      <c r="F660" s="1302"/>
      <c r="I660" s="491"/>
    </row>
    <row r="661" spans="1:9">
      <c r="A661" s="484"/>
      <c r="B661" s="485"/>
      <c r="C661" s="488"/>
      <c r="D661" s="1302"/>
      <c r="E661" s="1302"/>
      <c r="F661" s="1302"/>
      <c r="I661" s="491"/>
    </row>
    <row r="662" spans="1:9">
      <c r="A662" s="484"/>
      <c r="B662" s="485"/>
      <c r="C662" s="488"/>
      <c r="D662" s="1302"/>
      <c r="E662" s="1302"/>
      <c r="F662" s="1302"/>
      <c r="I662" s="491"/>
    </row>
    <row r="663" spans="1:9" ht="14.25" customHeight="1">
      <c r="A663" s="484"/>
      <c r="B663" s="485"/>
      <c r="C663" s="488"/>
      <c r="F663" s="387"/>
      <c r="I663" s="491"/>
    </row>
    <row r="664" spans="1:9" ht="12.75" customHeight="1">
      <c r="A664" s="484"/>
      <c r="B664" s="486" t="s">
        <v>2762</v>
      </c>
      <c r="C664" s="488"/>
      <c r="D664" s="1302" t="s">
        <v>1283</v>
      </c>
      <c r="E664" s="1302"/>
      <c r="F664" s="1302"/>
      <c r="I664" s="491"/>
    </row>
    <row r="665" spans="1:9">
      <c r="A665" s="484"/>
      <c r="B665" s="485"/>
      <c r="C665" s="488"/>
      <c r="D665" s="1302"/>
      <c r="E665" s="1302"/>
      <c r="F665" s="1302"/>
      <c r="I665" s="491"/>
    </row>
    <row r="666" spans="1:9">
      <c r="A666" s="485"/>
      <c r="B666" s="485"/>
      <c r="C666" s="488"/>
      <c r="D666" s="1302"/>
      <c r="E666" s="1302"/>
      <c r="F666" s="1302"/>
      <c r="I666" s="491"/>
    </row>
    <row r="667" spans="1:9">
      <c r="A667" s="485"/>
      <c r="B667" s="485"/>
      <c r="C667" s="488"/>
      <c r="D667" s="1302"/>
      <c r="E667" s="1302"/>
      <c r="F667" s="1302"/>
      <c r="I667" s="491"/>
    </row>
    <row r="668" spans="1:9">
      <c r="A668" s="485"/>
      <c r="B668" s="485"/>
      <c r="C668" s="488"/>
      <c r="D668" s="446"/>
      <c r="E668" s="446"/>
      <c r="F668" s="446"/>
      <c r="I668" s="491"/>
    </row>
    <row r="669" spans="1:9" ht="12.75" customHeight="1">
      <c r="A669" s="484"/>
      <c r="B669" s="486" t="s">
        <v>2762</v>
      </c>
      <c r="C669" s="488"/>
      <c r="D669" s="1302" t="s">
        <v>2069</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1060</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1077</v>
      </c>
      <c r="E683" s="1300"/>
      <c r="F683" s="1300"/>
      <c r="H683" s="502"/>
      <c r="I683" s="484"/>
      <c r="J683" s="502"/>
      <c r="K683" s="502"/>
    </row>
    <row r="684" spans="1:11">
      <c r="A684" s="484"/>
      <c r="B684" s="484"/>
      <c r="C684" s="484"/>
      <c r="H684" s="502"/>
      <c r="I684" s="484"/>
      <c r="J684" s="502"/>
      <c r="K684" s="502"/>
    </row>
    <row r="685" spans="1:11">
      <c r="A685" s="485"/>
      <c r="B685" s="486" t="s">
        <v>2762</v>
      </c>
      <c r="C685" s="484"/>
      <c r="D685" s="1300" t="s">
        <v>886</v>
      </c>
      <c r="E685" s="1300"/>
      <c r="F685" s="1300"/>
      <c r="H685" s="502"/>
      <c r="I685" s="484"/>
      <c r="J685" s="502"/>
      <c r="K685" s="502"/>
    </row>
    <row r="686" spans="1:11">
      <c r="A686" s="484"/>
      <c r="B686" s="484"/>
      <c r="C686" s="484"/>
      <c r="D686" s="1300" t="s">
        <v>895</v>
      </c>
      <c r="E686" s="1300"/>
      <c r="F686" s="1300"/>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2762</v>
      </c>
      <c r="C690" s="484"/>
      <c r="D690" s="1302" t="s">
        <v>2070</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c r="A694" s="485"/>
      <c r="B694" s="486" t="s">
        <v>2761</v>
      </c>
      <c r="C694" s="484"/>
      <c r="D694" s="1300" t="s">
        <v>918</v>
      </c>
      <c r="E694" s="1300"/>
      <c r="F694" s="1300"/>
      <c r="H694" s="502"/>
      <c r="I694" s="484"/>
      <c r="J694" s="502"/>
      <c r="K694" s="502"/>
    </row>
    <row r="695" spans="1:11">
      <c r="A695" s="485"/>
      <c r="B695" s="485"/>
      <c r="C695" s="484"/>
      <c r="D695" s="1300" t="s">
        <v>895</v>
      </c>
      <c r="E695" s="1300"/>
      <c r="F695" s="1300"/>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2762</v>
      </c>
      <c r="C698" s="484"/>
      <c r="D698" s="1300" t="s">
        <v>2473</v>
      </c>
      <c r="E698" s="1300"/>
      <c r="F698" s="1300"/>
      <c r="H698" s="502"/>
      <c r="I698" s="484"/>
      <c r="J698" s="502"/>
      <c r="K698" s="502"/>
    </row>
    <row r="699" spans="1:11">
      <c r="A699" s="485"/>
      <c r="B699" s="485"/>
      <c r="C699" s="484"/>
      <c r="D699" s="1300" t="s">
        <v>895</v>
      </c>
      <c r="E699" s="1300"/>
      <c r="F699" s="1300"/>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2761</v>
      </c>
      <c r="C702" s="484"/>
      <c r="D702" s="1302" t="s">
        <v>2248</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2761</v>
      </c>
      <c r="C709" s="484"/>
      <c r="D709" s="1302" t="s">
        <v>1202</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c r="A712" s="485"/>
      <c r="B712" s="486" t="s">
        <v>2762</v>
      </c>
      <c r="C712" s="484"/>
      <c r="D712" s="1302" t="s">
        <v>1078</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2762</v>
      </c>
      <c r="C725" s="484"/>
      <c r="D725" s="1302" t="s">
        <v>2466</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2762</v>
      </c>
      <c r="C729" s="484"/>
      <c r="D729" s="1302" t="s">
        <v>2465</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2762</v>
      </c>
      <c r="C733" s="484"/>
      <c r="D733" s="1302" t="s">
        <v>2464</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c r="A738" s="485"/>
      <c r="B738" s="486" t="s">
        <v>2762</v>
      </c>
      <c r="C738" s="484"/>
      <c r="D738" s="1302" t="s">
        <v>1079</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c r="A744" s="485"/>
      <c r="B744" s="486" t="s">
        <v>2762</v>
      </c>
      <c r="C744" s="484"/>
      <c r="D744" s="1302" t="s">
        <v>2148</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2077</v>
      </c>
      <c r="E751" s="1303"/>
      <c r="F751" s="1303"/>
      <c r="H751" s="502"/>
      <c r="I751" s="484"/>
      <c r="J751" s="502"/>
      <c r="K751" s="502"/>
    </row>
    <row r="752" spans="1:11">
      <c r="A752" s="484"/>
      <c r="B752" s="484"/>
      <c r="C752" s="484"/>
      <c r="D752" s="342"/>
      <c r="H752" s="502"/>
      <c r="I752" s="484"/>
      <c r="J752" s="502"/>
      <c r="K752" s="502"/>
    </row>
    <row r="753" spans="1:11">
      <c r="A753" s="1301" t="s">
        <v>1061</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75" customHeight="1">
      <c r="C755" s="484"/>
      <c r="D755" s="1318" t="s">
        <v>1071</v>
      </c>
      <c r="E755" s="1318"/>
      <c r="F755" s="1318"/>
      <c r="G755" s="502"/>
      <c r="H755" s="502"/>
      <c r="I755" s="484"/>
      <c r="J755" s="502"/>
      <c r="K755" s="502"/>
    </row>
    <row r="756" spans="1:11">
      <c r="A756" s="484"/>
      <c r="B756" s="484"/>
      <c r="C756" s="484"/>
      <c r="D756" s="1304" t="s">
        <v>1072</v>
      </c>
      <c r="E756" s="1304"/>
      <c r="F756" s="1304"/>
      <c r="G756" s="502"/>
      <c r="H756" s="502"/>
      <c r="I756" s="484"/>
      <c r="J756" s="502"/>
      <c r="K756" s="502"/>
    </row>
    <row r="757" spans="1:11">
      <c r="A757" s="484"/>
      <c r="B757" s="484"/>
      <c r="C757" s="484"/>
      <c r="G757" s="502"/>
      <c r="H757" s="502"/>
      <c r="I757" s="484"/>
      <c r="J757" s="502"/>
      <c r="K757" s="502"/>
    </row>
    <row r="758" spans="1:11">
      <c r="A758" s="485"/>
      <c r="B758" s="486" t="s">
        <v>2761</v>
      </c>
      <c r="D758" s="1302" t="s">
        <v>1073</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6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c r="A765" s="504"/>
      <c r="B765" s="486" t="s">
        <v>2761</v>
      </c>
      <c r="C765" s="505"/>
      <c r="D765" s="1302" t="s">
        <v>1242</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c r="A770" s="485"/>
      <c r="B770" s="486" t="s">
        <v>2761</v>
      </c>
      <c r="C770" s="505"/>
      <c r="D770" s="1308" t="s">
        <v>1243</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c r="A774" s="485"/>
      <c r="B774" s="486" t="s">
        <v>2762</v>
      </c>
      <c r="D774" s="1302" t="s">
        <v>1199</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2762</v>
      </c>
      <c r="D777" s="1302" t="s">
        <v>1216</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1802</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1856</v>
      </c>
      <c r="E783" s="1316"/>
      <c r="F783" s="1316"/>
      <c r="G783" s="3"/>
      <c r="I783" s="491"/>
    </row>
    <row r="784" spans="1:11">
      <c r="A784" s="57"/>
      <c r="B784" s="57"/>
      <c r="C784" s="355"/>
      <c r="D784" s="1319" t="s">
        <v>1756</v>
      </c>
      <c r="E784" s="1319"/>
      <c r="F784" s="1319"/>
      <c r="G784" s="3"/>
      <c r="I784" s="491"/>
    </row>
    <row r="785" spans="1:9">
      <c r="A785" s="57"/>
      <c r="B785" s="57"/>
      <c r="C785" s="355"/>
      <c r="D785" s="448"/>
      <c r="E785" s="448"/>
      <c r="F785" s="448"/>
      <c r="G785" s="3"/>
      <c r="I785" s="491"/>
    </row>
    <row r="786" spans="1:9">
      <c r="A786" s="57"/>
      <c r="B786" s="486" t="s">
        <v>2761</v>
      </c>
      <c r="C786" s="355"/>
      <c r="D786" s="1295" t="s">
        <v>1757</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2762</v>
      </c>
      <c r="C790" s="172"/>
      <c r="D790" s="1295" t="s">
        <v>1758</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c r="A794" s="175"/>
      <c r="B794" s="486" t="s">
        <v>2762</v>
      </c>
      <c r="C794" s="990"/>
      <c r="D794" s="1295" t="s">
        <v>1759</v>
      </c>
      <c r="E794" s="1295"/>
      <c r="F794" s="1295"/>
      <c r="G794" s="989"/>
      <c r="I794" s="484"/>
    </row>
    <row r="795" spans="1:9">
      <c r="A795" s="175"/>
      <c r="B795" s="175"/>
      <c r="C795" s="990"/>
      <c r="D795" s="1295"/>
      <c r="E795" s="1295"/>
      <c r="F795" s="1295"/>
      <c r="G795" s="989"/>
      <c r="I795" s="491"/>
    </row>
    <row r="796" spans="1:9">
      <c r="A796" s="175"/>
      <c r="B796" s="175"/>
      <c r="C796" s="990"/>
      <c r="D796" s="1295"/>
      <c r="E796" s="1295"/>
      <c r="F796" s="1295"/>
      <c r="G796" s="989"/>
      <c r="I796" s="491"/>
    </row>
    <row r="797" spans="1:9">
      <c r="A797" s="175"/>
      <c r="B797" s="175"/>
      <c r="C797" s="990"/>
      <c r="D797" s="118"/>
      <c r="E797" s="3"/>
      <c r="F797" s="3"/>
      <c r="G797" s="989"/>
      <c r="I797" s="491"/>
    </row>
    <row r="798" spans="1:9">
      <c r="A798" s="175"/>
      <c r="B798" s="486" t="s">
        <v>2762</v>
      </c>
      <c r="C798" s="990"/>
      <c r="D798" s="1295" t="s">
        <v>1760</v>
      </c>
      <c r="E798" s="1295"/>
      <c r="F798" s="1295"/>
      <c r="G798" s="989"/>
      <c r="I798" s="484"/>
    </row>
    <row r="799" spans="1:9">
      <c r="A799" s="175"/>
      <c r="B799" s="175"/>
      <c r="C799" s="990"/>
      <c r="D799" s="1295"/>
      <c r="E799" s="1295"/>
      <c r="F799" s="1295"/>
      <c r="G799" s="989"/>
      <c r="I799" s="491"/>
    </row>
    <row r="800" spans="1:9">
      <c r="A800" s="175"/>
      <c r="B800" s="175"/>
      <c r="C800" s="990"/>
      <c r="D800" s="1295"/>
      <c r="E800" s="1295"/>
      <c r="F800" s="1295"/>
      <c r="G800" s="989"/>
      <c r="I800" s="491"/>
    </row>
    <row r="801" spans="1:9">
      <c r="A801" s="175"/>
      <c r="B801" s="175"/>
      <c r="C801" s="990"/>
      <c r="D801" s="1295"/>
      <c r="E801" s="1295"/>
      <c r="F801" s="1295"/>
      <c r="G801" s="989"/>
      <c r="I801" s="491"/>
    </row>
    <row r="802" spans="1:9">
      <c r="A802" s="175"/>
      <c r="B802" s="175"/>
      <c r="C802" s="990"/>
      <c r="D802" s="1295"/>
      <c r="E802" s="1295"/>
      <c r="F802" s="1295"/>
      <c r="G802" s="989"/>
      <c r="I802" s="491"/>
    </row>
    <row r="803" spans="1:9">
      <c r="A803" s="175"/>
      <c r="B803" s="175"/>
      <c r="C803" s="990"/>
      <c r="D803" s="1295"/>
      <c r="E803" s="1295"/>
      <c r="F803" s="1295"/>
      <c r="G803" s="989"/>
      <c r="I803" s="491"/>
    </row>
    <row r="804" spans="1:9">
      <c r="A804" s="175"/>
      <c r="B804" s="175"/>
      <c r="C804" s="990"/>
      <c r="D804" s="1295" t="s">
        <v>1803</v>
      </c>
      <c r="E804" s="1295"/>
      <c r="F804" s="1295"/>
      <c r="G804" s="989"/>
      <c r="I804" s="491"/>
    </row>
    <row r="805" spans="1:9">
      <c r="A805" s="175"/>
      <c r="B805" s="175"/>
      <c r="C805" s="990"/>
      <c r="D805" s="1295"/>
      <c r="E805" s="1295"/>
      <c r="F805" s="1295"/>
      <c r="G805" s="989"/>
      <c r="I805" s="491"/>
    </row>
    <row r="806" spans="1:9">
      <c r="A806" s="175"/>
      <c r="B806" s="175"/>
      <c r="C806" s="990"/>
      <c r="D806" s="1295"/>
      <c r="E806" s="1295"/>
      <c r="F806" s="1295"/>
      <c r="G806" s="989"/>
      <c r="I806" s="491"/>
    </row>
    <row r="807" spans="1:9">
      <c r="A807" s="175"/>
      <c r="B807" s="355"/>
      <c r="C807" s="990"/>
      <c r="D807" s="991"/>
      <c r="E807" s="991"/>
      <c r="F807" s="991"/>
      <c r="G807" s="989"/>
      <c r="I807" s="491"/>
    </row>
    <row r="808" spans="1:9">
      <c r="A808" s="175"/>
      <c r="B808" s="486" t="s">
        <v>2762</v>
      </c>
      <c r="C808" s="990"/>
      <c r="D808" s="1295" t="s">
        <v>1761</v>
      </c>
      <c r="E808" s="1295"/>
      <c r="F808" s="1295"/>
      <c r="G808" s="989"/>
      <c r="I808" s="484"/>
    </row>
    <row r="809" spans="1:9">
      <c r="A809" s="175"/>
      <c r="B809" s="175"/>
      <c r="C809" s="990"/>
      <c r="D809" s="1295"/>
      <c r="E809" s="1295"/>
      <c r="F809" s="1295"/>
      <c r="G809" s="989"/>
      <c r="I809" s="491"/>
    </row>
    <row r="810" spans="1:9">
      <c r="A810" s="175"/>
      <c r="B810" s="175"/>
      <c r="C810" s="990"/>
      <c r="D810" s="1295"/>
      <c r="E810" s="1295"/>
      <c r="F810" s="1295"/>
      <c r="G810" s="989"/>
      <c r="I810" s="491"/>
    </row>
    <row r="811" spans="1:9">
      <c r="A811" s="175"/>
      <c r="B811" s="175"/>
      <c r="C811" s="990"/>
      <c r="D811" s="1295"/>
      <c r="E811" s="1295"/>
      <c r="F811" s="1295"/>
      <c r="G811" s="989"/>
      <c r="I811" s="491"/>
    </row>
    <row r="812" spans="1:9">
      <c r="A812" s="175"/>
      <c r="B812" s="175"/>
      <c r="C812" s="990"/>
      <c r="D812" s="1295"/>
      <c r="E812" s="1295"/>
      <c r="F812" s="1295"/>
      <c r="G812" s="989"/>
      <c r="I812" s="491"/>
    </row>
    <row r="813" spans="1:9">
      <c r="A813" s="175"/>
      <c r="B813" s="175"/>
      <c r="C813" s="990"/>
      <c r="D813" s="1295"/>
      <c r="E813" s="1295"/>
      <c r="F813" s="1295"/>
      <c r="G813" s="989"/>
      <c r="I813" s="491"/>
    </row>
    <row r="814" spans="1:9">
      <c r="A814" s="175"/>
      <c r="B814" s="175"/>
      <c r="C814" s="990"/>
      <c r="D814" s="983"/>
      <c r="E814" s="983"/>
      <c r="F814" s="983"/>
      <c r="G814" s="989"/>
      <c r="I814" s="491"/>
    </row>
    <row r="815" spans="1:9">
      <c r="A815" s="175"/>
      <c r="B815" s="486" t="s">
        <v>2761</v>
      </c>
      <c r="C815" s="990"/>
      <c r="D815" s="1295" t="s">
        <v>1762</v>
      </c>
      <c r="E815" s="1295"/>
      <c r="F815" s="1295"/>
      <c r="G815" s="989"/>
      <c r="I815" s="484"/>
    </row>
    <row r="816" spans="1:9">
      <c r="A816" s="175"/>
      <c r="B816" s="175"/>
      <c r="C816" s="990"/>
      <c r="D816" s="1295"/>
      <c r="E816" s="1295"/>
      <c r="F816" s="1295"/>
      <c r="G816" s="989"/>
      <c r="I816" s="491"/>
    </row>
    <row r="817" spans="1:9">
      <c r="A817" s="175"/>
      <c r="B817" s="175"/>
      <c r="C817" s="990"/>
      <c r="D817" s="1295"/>
      <c r="E817" s="1295"/>
      <c r="F817" s="1295"/>
      <c r="G817" s="989"/>
      <c r="I817" s="491"/>
    </row>
    <row r="818" spans="1:9">
      <c r="A818" s="175"/>
      <c r="B818" s="175"/>
      <c r="C818" s="990"/>
      <c r="D818" s="1295"/>
      <c r="E818" s="1295"/>
      <c r="F818" s="1295"/>
      <c r="G818" s="989"/>
      <c r="I818" s="491"/>
    </row>
    <row r="819" spans="1:9">
      <c r="A819" s="175"/>
      <c r="B819" s="175"/>
      <c r="C819" s="990"/>
      <c r="D819" s="1295"/>
      <c r="E819" s="1295"/>
      <c r="F819" s="1295"/>
      <c r="G819" s="989"/>
      <c r="I819" s="491"/>
    </row>
    <row r="820" spans="1:9">
      <c r="A820" s="175"/>
      <c r="B820" s="175"/>
      <c r="C820" s="990"/>
      <c r="D820" s="1295"/>
      <c r="E820" s="1295"/>
      <c r="F820" s="1295"/>
      <c r="G820" s="989"/>
      <c r="I820" s="491"/>
    </row>
    <row r="821" spans="1:9">
      <c r="A821" s="175"/>
      <c r="B821" s="175"/>
      <c r="C821" s="990"/>
      <c r="D821" s="983"/>
      <c r="E821" s="983"/>
      <c r="F821" s="983"/>
      <c r="G821" s="989"/>
      <c r="I821" s="491"/>
    </row>
    <row r="822" spans="1:9">
      <c r="A822" s="175"/>
      <c r="B822" s="486" t="s">
        <v>2762</v>
      </c>
      <c r="C822" s="990"/>
      <c r="D822" s="1290" t="s">
        <v>1763</v>
      </c>
      <c r="E822" s="1290"/>
      <c r="F822" s="1290"/>
      <c r="G822" s="989"/>
      <c r="I822" s="484"/>
    </row>
    <row r="823" spans="1:9">
      <c r="A823" s="175"/>
      <c r="B823" s="175"/>
      <c r="C823" s="990"/>
      <c r="D823" s="1290"/>
      <c r="E823" s="1290"/>
      <c r="F823" s="1290"/>
      <c r="G823" s="989"/>
      <c r="I823" s="491"/>
    </row>
    <row r="824" spans="1:9">
      <c r="A824" s="13"/>
      <c r="B824" s="13"/>
      <c r="C824" s="990"/>
      <c r="D824" s="1290"/>
      <c r="E824" s="1290"/>
      <c r="F824" s="1290"/>
      <c r="G824" s="989"/>
      <c r="I824" s="491"/>
    </row>
    <row r="825" spans="1:9">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1764</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1804</v>
      </c>
      <c r="E831" s="1306"/>
      <c r="F831" s="1306"/>
      <c r="G831" s="3"/>
      <c r="I831" s="491"/>
    </row>
    <row r="832" spans="1:9" ht="14.25" customHeight="1">
      <c r="A832" s="175"/>
      <c r="B832" s="175"/>
      <c r="C832" s="355"/>
      <c r="D832" s="1263" t="s">
        <v>1765</v>
      </c>
      <c r="E832" s="1263"/>
      <c r="F832" s="1263"/>
      <c r="G832" s="3"/>
      <c r="I832" s="491"/>
    </row>
    <row r="833" spans="1:9" ht="12.75" customHeight="1">
      <c r="A833" s="175"/>
      <c r="B833" s="175"/>
      <c r="C833" s="355"/>
      <c r="D833" s="442"/>
      <c r="E833" s="442"/>
      <c r="F833" s="442"/>
      <c r="G833" s="3"/>
      <c r="I833" s="491"/>
    </row>
    <row r="834" spans="1:9" ht="12.75" customHeight="1">
      <c r="A834" s="355"/>
      <c r="B834" s="486" t="s">
        <v>2761</v>
      </c>
      <c r="C834" s="990"/>
      <c r="D834" s="1263" t="s">
        <v>1766</v>
      </c>
      <c r="E834" s="1263"/>
      <c r="F834" s="1263"/>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7" t="s">
        <v>2078</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2761</v>
      </c>
      <c r="C848" s="990"/>
      <c r="D848" s="1263" t="s">
        <v>1767</v>
      </c>
      <c r="E848" s="1263"/>
      <c r="F848" s="1263"/>
      <c r="G848" s="3"/>
      <c r="I848" s="491" t="s">
        <v>1884</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2762</v>
      </c>
      <c r="C852" s="990"/>
      <c r="D852" s="1306" t="s">
        <v>1768</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2071</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2762</v>
      </c>
      <c r="C861" s="990"/>
      <c r="D861" s="1263" t="s">
        <v>1769</v>
      </c>
      <c r="E861" s="1263"/>
      <c r="F861" s="1263"/>
      <c r="G861" s="3"/>
      <c r="I861" s="491" t="s">
        <v>1882</v>
      </c>
    </row>
    <row r="862" spans="1:9" ht="12.75" customHeight="1">
      <c r="A862" s="175"/>
      <c r="B862" s="175"/>
      <c r="C862" s="990"/>
      <c r="D862" s="1263" t="s">
        <v>1770</v>
      </c>
      <c r="E862" s="1263"/>
      <c r="F862" s="1263"/>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2762</v>
      </c>
      <c r="C865" s="990"/>
      <c r="D865" s="1263" t="s">
        <v>1771</v>
      </c>
      <c r="E865" s="1263"/>
      <c r="F865" s="1263"/>
      <c r="G865" s="3"/>
      <c r="I865" s="491" t="s">
        <v>1885</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1805</v>
      </c>
      <c r="E872" s="1296"/>
      <c r="F872" s="1296"/>
      <c r="G872" s="989"/>
      <c r="I872" s="491"/>
    </row>
    <row r="873" spans="1:9" ht="12.75" customHeight="1">
      <c r="A873" s="355"/>
      <c r="B873" s="355"/>
      <c r="C873" s="174"/>
      <c r="D873" s="1305" t="s">
        <v>1773</v>
      </c>
      <c r="E873" s="1305"/>
      <c r="F873" s="1305"/>
      <c r="G873" s="989"/>
      <c r="I873" s="491"/>
    </row>
    <row r="874" spans="1:9" ht="12.75" customHeight="1">
      <c r="A874" s="355"/>
      <c r="B874" s="355"/>
      <c r="C874" s="174"/>
      <c r="D874" s="996"/>
      <c r="E874" s="996"/>
      <c r="F874" s="996"/>
      <c r="G874" s="989"/>
      <c r="I874" s="491"/>
    </row>
    <row r="875" spans="1:9" ht="12.75" customHeight="1">
      <c r="A875" s="175"/>
      <c r="B875" s="486" t="s">
        <v>2761</v>
      </c>
      <c r="C875" s="355"/>
      <c r="D875" s="1289" t="s">
        <v>1774</v>
      </c>
      <c r="E875" s="1289"/>
      <c r="F875" s="128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2761</v>
      </c>
      <c r="C878" s="355"/>
      <c r="D878" s="1263" t="s">
        <v>1775</v>
      </c>
      <c r="E878" s="1312"/>
      <c r="F878" s="1312"/>
      <c r="G878" s="3"/>
      <c r="I878" s="491" t="s">
        <v>1885</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2762</v>
      </c>
      <c r="C881" s="355"/>
      <c r="D881" s="1313" t="s">
        <v>1776</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2071</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2762</v>
      </c>
      <c r="C890" s="355"/>
      <c r="D890" s="1288" t="s">
        <v>1769</v>
      </c>
      <c r="E890" s="1288"/>
      <c r="F890" s="1288"/>
      <c r="G890" s="989"/>
      <c r="I890" s="491"/>
    </row>
    <row r="891" spans="1:9" ht="12.75" customHeight="1">
      <c r="A891" s="175"/>
      <c r="B891" s="175"/>
      <c r="C891" s="355"/>
      <c r="D891" s="1288" t="s">
        <v>1770</v>
      </c>
      <c r="E891" s="1288"/>
      <c r="F891" s="1288"/>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2762</v>
      </c>
      <c r="C894" s="355"/>
      <c r="D894" s="1263" t="s">
        <v>1771</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1806</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1812</v>
      </c>
      <c r="E901" s="1284"/>
      <c r="F901" s="1284"/>
      <c r="G901" s="57"/>
      <c r="I901" s="491"/>
    </row>
    <row r="902" spans="1:9" ht="12.75" customHeight="1">
      <c r="A902" s="57"/>
      <c r="B902" s="57"/>
      <c r="C902" s="57"/>
      <c r="D902" s="982"/>
      <c r="E902" s="982"/>
      <c r="F902" s="982"/>
      <c r="G902" s="57"/>
      <c r="I902" s="491"/>
    </row>
    <row r="903" spans="1:9" ht="12.75" customHeight="1">
      <c r="A903" s="57"/>
      <c r="B903" s="486" t="s">
        <v>2761</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1807</v>
      </c>
      <c r="E905" s="1284"/>
      <c r="F905" s="1284"/>
      <c r="G905" s="989"/>
      <c r="I905" s="491"/>
    </row>
    <row r="906" spans="1:9" ht="12.75" customHeight="1">
      <c r="A906" s="172"/>
      <c r="B906" s="172"/>
      <c r="C906" s="172"/>
      <c r="D906" s="1289" t="s">
        <v>1777</v>
      </c>
      <c r="E906" s="1289"/>
      <c r="F906" s="1289"/>
      <c r="G906" s="989"/>
      <c r="I906" s="491"/>
    </row>
    <row r="907" spans="1:9" ht="12.75" customHeight="1">
      <c r="A907" s="990"/>
      <c r="B907" s="990"/>
      <c r="C907" s="990"/>
      <c r="D907" s="2"/>
      <c r="E907" s="989"/>
      <c r="F907" s="989"/>
      <c r="G907" s="989"/>
      <c r="I907" s="491"/>
    </row>
    <row r="908" spans="1:9" ht="12.75" customHeight="1">
      <c r="A908" s="175"/>
      <c r="B908" s="486" t="s">
        <v>2761</v>
      </c>
      <c r="C908" s="355"/>
      <c r="D908" s="1263" t="s">
        <v>1781</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1780</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2761</v>
      </c>
      <c r="C913" s="174"/>
      <c r="D913" s="1274" t="s">
        <v>1778</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2762</v>
      </c>
      <c r="C922" s="990"/>
      <c r="D922" s="1263" t="s">
        <v>1782</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2762</v>
      </c>
      <c r="C925" s="990"/>
      <c r="D925" s="1290" t="s">
        <v>1783</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2762</v>
      </c>
      <c r="C930" s="990"/>
      <c r="D930" s="1289" t="s">
        <v>2072</v>
      </c>
      <c r="E930" s="1289"/>
      <c r="F930" s="1289"/>
      <c r="G930" s="989"/>
      <c r="I930" s="491"/>
    </row>
    <row r="931" spans="1:9" ht="12.75" customHeight="1">
      <c r="A931" s="990"/>
      <c r="B931" s="990"/>
      <c r="C931" s="990"/>
      <c r="D931" s="118"/>
      <c r="E931" s="989"/>
      <c r="F931" s="989"/>
      <c r="G931" s="989"/>
      <c r="I931" s="491"/>
    </row>
    <row r="932" spans="1:9" ht="12.75" customHeight="1">
      <c r="A932" s="990"/>
      <c r="B932" s="486" t="s">
        <v>2762</v>
      </c>
      <c r="C932" s="990"/>
      <c r="D932" s="1289" t="s">
        <v>2073</v>
      </c>
      <c r="E932" s="1289"/>
      <c r="F932" s="1289"/>
      <c r="G932" s="989"/>
      <c r="I932" s="491"/>
    </row>
    <row r="933" spans="1:9" ht="12.75" customHeight="1">
      <c r="A933" s="174"/>
      <c r="B933" s="174"/>
      <c r="C933" s="174"/>
      <c r="D933" s="2"/>
      <c r="E933" s="3"/>
      <c r="F933" s="989"/>
      <c r="G933" s="989"/>
      <c r="I933" s="491"/>
    </row>
    <row r="934" spans="1:9" ht="12.75" customHeight="1">
      <c r="A934" s="998"/>
      <c r="B934" s="486" t="s">
        <v>2762</v>
      </c>
      <c r="C934" s="999"/>
      <c r="D934" s="1274" t="s">
        <v>1779</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2761</v>
      </c>
      <c r="C944" s="174"/>
      <c r="D944" s="1298" t="s">
        <v>1888</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2762</v>
      </c>
      <c r="C952" s="174"/>
      <c r="D952" s="1273" t="s">
        <v>2140</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2762</v>
      </c>
      <c r="C959" s="990"/>
      <c r="D959" s="1290" t="s">
        <v>1784</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2762</v>
      </c>
      <c r="C964" s="174"/>
      <c r="D964" s="1274" t="s">
        <v>1887</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1785</v>
      </c>
      <c r="E969" s="1296"/>
      <c r="F969" s="1296"/>
      <c r="G969" s="3"/>
      <c r="I969" s="491"/>
    </row>
    <row r="970" spans="1:9" ht="12.75" customHeight="1">
      <c r="A970" s="175"/>
      <c r="B970" s="486" t="s">
        <v>2762</v>
      </c>
      <c r="C970" s="355"/>
      <c r="D970" s="1289" t="s">
        <v>1808</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1786</v>
      </c>
      <c r="E972" s="1296"/>
      <c r="F972" s="1296"/>
      <c r="G972"/>
      <c r="I972" s="491"/>
    </row>
    <row r="973" spans="1:9" ht="12.75" customHeight="1">
      <c r="A973" s="175"/>
      <c r="B973" s="486" t="s">
        <v>2761</v>
      </c>
      <c r="C973" s="355"/>
      <c r="D973" s="1263" t="s">
        <v>2074</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1787</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1809</v>
      </c>
      <c r="E991" s="1296"/>
      <c r="F991" s="1296"/>
      <c r="G991" s="3"/>
      <c r="I991" s="491"/>
    </row>
    <row r="992" spans="1:9" ht="12.75" customHeight="1">
      <c r="A992" s="172"/>
      <c r="B992" s="172"/>
      <c r="C992" s="172"/>
      <c r="D992" s="1289" t="s">
        <v>1788</v>
      </c>
      <c r="E992" s="1289"/>
      <c r="F992" s="1289"/>
      <c r="G992" s="3"/>
      <c r="I992" s="491"/>
    </row>
    <row r="993" spans="1:9" ht="12.75" customHeight="1">
      <c r="A993" s="172"/>
      <c r="B993" s="172"/>
      <c r="C993" s="172"/>
      <c r="D993" s="3"/>
      <c r="E993" s="3"/>
      <c r="F993" s="989"/>
      <c r="G993"/>
      <c r="I993" s="491"/>
    </row>
    <row r="994" spans="1:9" ht="12.75" customHeight="1">
      <c r="A994" s="355"/>
      <c r="B994" s="486" t="s">
        <v>2761</v>
      </c>
      <c r="C994" s="355"/>
      <c r="D994" s="1297" t="s">
        <v>1917</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1918</v>
      </c>
      <c r="F996" s="1039"/>
      <c r="G996"/>
      <c r="I996" s="491"/>
    </row>
    <row r="997" spans="1:9" ht="12.75" customHeight="1">
      <c r="A997" s="355"/>
      <c r="B997" s="355"/>
      <c r="C997" s="355"/>
      <c r="D997" s="1268" t="s">
        <v>1916</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2762</v>
      </c>
      <c r="C1002" s="174"/>
      <c r="D1002" s="1263" t="s">
        <v>1789</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2762</v>
      </c>
      <c r="C1007" s="174"/>
      <c r="D1007" s="1263" t="s">
        <v>2234</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2761</v>
      </c>
      <c r="C1010" s="355"/>
      <c r="D1010" s="1289" t="s">
        <v>1790</v>
      </c>
      <c r="E1010" s="1289"/>
      <c r="F1010" s="1289"/>
      <c r="G1010"/>
      <c r="I1010" s="491"/>
    </row>
    <row r="1011" spans="1:9" ht="12.75" customHeight="1">
      <c r="A1011" s="355"/>
      <c r="B1011" s="355"/>
      <c r="C1011" s="355"/>
      <c r="D1011" s="3"/>
      <c r="E1011" s="3"/>
      <c r="F1011" s="3"/>
      <c r="G1011"/>
      <c r="I1011" s="491"/>
    </row>
    <row r="1012" spans="1:9" ht="12.75" customHeight="1">
      <c r="A1012" s="175"/>
      <c r="B1012" s="486" t="s">
        <v>2762</v>
      </c>
      <c r="C1012" s="355"/>
      <c r="D1012" s="1289" t="s">
        <v>1791</v>
      </c>
      <c r="E1012" s="1289"/>
      <c r="F1012" s="1289"/>
      <c r="G1012"/>
      <c r="I1012" s="491"/>
    </row>
    <row r="1013" spans="1:9" ht="12.75" customHeight="1">
      <c r="A1013" s="355"/>
      <c r="B1013" s="355"/>
      <c r="C1013" s="355"/>
      <c r="D1013" s="118"/>
      <c r="E1013" s="3"/>
      <c r="F1013" s="3"/>
      <c r="G1013"/>
      <c r="I1013" s="491"/>
    </row>
    <row r="1014" spans="1:9" ht="12.75" customHeight="1">
      <c r="A1014" s="175"/>
      <c r="B1014" s="486" t="s">
        <v>2761</v>
      </c>
      <c r="C1014" s="355"/>
      <c r="D1014" s="1289" t="s">
        <v>1792</v>
      </c>
      <c r="E1014" s="1289"/>
      <c r="F1014" s="1289"/>
      <c r="G1014"/>
      <c r="I1014" s="491"/>
    </row>
    <row r="1015" spans="1:9" ht="12.75" customHeight="1">
      <c r="A1015" s="355"/>
      <c r="B1015" s="355"/>
      <c r="C1015" s="355"/>
      <c r="D1015" s="118"/>
      <c r="E1015" s="3"/>
      <c r="F1015" s="3"/>
      <c r="G1015"/>
      <c r="I1015" s="491"/>
    </row>
    <row r="1016" spans="1:9" ht="12.75" customHeight="1">
      <c r="A1016" s="175"/>
      <c r="B1016" s="486" t="s">
        <v>2762</v>
      </c>
      <c r="C1016" s="355"/>
      <c r="D1016" s="1263" t="s">
        <v>1793</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2762</v>
      </c>
      <c r="C1019" s="1001"/>
      <c r="D1019" s="1295" t="s">
        <v>1794</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2762</v>
      </c>
      <c r="C1022" s="1001"/>
      <c r="D1022" s="1285" t="s">
        <v>1795</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2762</v>
      </c>
      <c r="C1024" s="355"/>
      <c r="D1024" s="1289" t="s">
        <v>1796</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2762</v>
      </c>
      <c r="C1026" s="355"/>
      <c r="D1026" s="1263" t="s">
        <v>1797</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1798</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1799</v>
      </c>
      <c r="E1031" s="1284"/>
      <c r="F1031" s="1284"/>
      <c r="G1031" s="3"/>
      <c r="I1031" s="491"/>
    </row>
    <row r="1032" spans="1:9" ht="12.75" customHeight="1">
      <c r="A1032" s="355"/>
      <c r="B1032" s="355"/>
      <c r="C1032" s="355"/>
      <c r="D1032" s="1285" t="s">
        <v>1800</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1814</v>
      </c>
      <c r="E1034" s="1284"/>
      <c r="F1034" s="1284"/>
      <c r="G1034" s="3"/>
      <c r="I1034" s="491"/>
    </row>
    <row r="1035" spans="1:9" ht="12.75" customHeight="1">
      <c r="A1035" s="355"/>
      <c r="B1035" s="486" t="s">
        <v>2761</v>
      </c>
      <c r="C1035" s="355"/>
      <c r="D1035" s="1285" t="s">
        <v>1272</v>
      </c>
      <c r="E1035" s="1285"/>
      <c r="F1035" s="1285"/>
      <c r="G1035" s="3"/>
      <c r="I1035" s="491"/>
    </row>
    <row r="1036" spans="1:9" ht="12.75" customHeight="1">
      <c r="A1036" s="355"/>
      <c r="B1036" s="175"/>
      <c r="C1036" s="355"/>
      <c r="D1036" s="1285" t="s">
        <v>1801</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1810</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1273</v>
      </c>
      <c r="E1040" s="1283"/>
      <c r="F1040" s="1283"/>
      <c r="G1040" s="3"/>
      <c r="I1040" s="491"/>
    </row>
    <row r="1041" spans="1:9" ht="12.75" hidden="1" customHeight="1">
      <c r="A1041" s="118"/>
      <c r="B1041" s="486" t="s">
        <v>307</v>
      </c>
      <c r="D1041" s="1282" t="s">
        <v>1272</v>
      </c>
      <c r="E1041" s="1282"/>
      <c r="F1041" s="1282"/>
      <c r="G1041" s="3"/>
      <c r="I1041" s="491"/>
    </row>
    <row r="1042" spans="1:9" ht="12.75" hidden="1" customHeight="1">
      <c r="A1042" s="118"/>
      <c r="B1042" s="403"/>
      <c r="D1042" s="1282" t="s">
        <v>1811</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1067</v>
      </c>
      <c r="E1044" s="1287"/>
      <c r="F1044" s="1287"/>
      <c r="G1044" s="3"/>
      <c r="I1044" s="491"/>
    </row>
    <row r="1045" spans="1:9" ht="12.75" customHeight="1">
      <c r="A1045" s="320"/>
      <c r="B1045" s="320"/>
      <c r="C1045" s="320"/>
      <c r="D1045" s="1288" t="s">
        <v>2252</v>
      </c>
      <c r="E1045" s="1288"/>
      <c r="F1045" s="1288"/>
      <c r="G1045" s="98"/>
      <c r="I1045" s="491"/>
    </row>
    <row r="1046" spans="1:9" ht="12.75" customHeight="1">
      <c r="A1046" s="175"/>
      <c r="B1046" s="486" t="s">
        <v>2762</v>
      </c>
      <c r="C1046" s="355"/>
      <c r="D1046" s="1288" t="s">
        <v>986</v>
      </c>
      <c r="E1046" s="1288"/>
      <c r="F1046" s="1288"/>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6" t="s">
        <v>1831</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2762</v>
      </c>
      <c r="C1054" s="403"/>
      <c r="D1054" s="1292" t="s">
        <v>1815</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2761</v>
      </c>
      <c r="C1062" s="403"/>
      <c r="D1062" s="403" t="s">
        <v>1813</v>
      </c>
      <c r="I1062" s="491"/>
    </row>
    <row r="1063" spans="1:9">
      <c r="A1063" s="403"/>
      <c r="B1063" s="403"/>
      <c r="C1063" s="403"/>
      <c r="I1063" s="491"/>
    </row>
    <row r="1064" spans="1:9">
      <c r="A1064" s="403"/>
      <c r="B1064" s="486" t="s">
        <v>2761</v>
      </c>
      <c r="C1064" s="403"/>
      <c r="D1064" s="1292" t="s">
        <v>1819</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1820</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2761</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2762</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2762</v>
      </c>
      <c r="C1079" s="403"/>
      <c r="D1079" s="119" t="s">
        <v>1829</v>
      </c>
      <c r="I1079" s="491"/>
    </row>
    <row r="1080" spans="1:9">
      <c r="A1080" s="403"/>
      <c r="B1080" s="403"/>
      <c r="C1080" s="403"/>
      <c r="D1080" s="1263" t="s">
        <v>1830</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2762</v>
      </c>
      <c r="C1087" s="403"/>
      <c r="D1087" s="1291" t="s">
        <v>1822</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1827</v>
      </c>
      <c r="I1092" s="491"/>
    </row>
    <row r="1093" spans="1:9">
      <c r="A1093" s="403"/>
      <c r="B1093" s="403"/>
      <c r="C1093" s="403"/>
      <c r="I1093" s="491"/>
    </row>
    <row r="1094" spans="1:9">
      <c r="A1094" s="403"/>
      <c r="B1094" s="486" t="s">
        <v>2762</v>
      </c>
      <c r="C1094" s="403"/>
      <c r="D1094" s="1277" t="s">
        <v>2285</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1832</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2762</v>
      </c>
      <c r="C1101" s="403"/>
      <c r="D1101" s="1293" t="s">
        <v>1931</v>
      </c>
      <c r="E1101" s="1293"/>
      <c r="F1101" s="1293"/>
      <c r="I1101" s="491"/>
    </row>
    <row r="1102" spans="1:9">
      <c r="A1102" s="403"/>
      <c r="B1102" s="403"/>
      <c r="C1102" s="403"/>
      <c r="D1102" s="1293"/>
      <c r="E1102" s="1293"/>
      <c r="F1102" s="1293"/>
      <c r="I1102" s="491"/>
    </row>
    <row r="1103" spans="1:9">
      <c r="A1103" s="403"/>
      <c r="B1103" s="403"/>
      <c r="C1103" s="403"/>
      <c r="D1103" s="1294" t="s">
        <v>2146</v>
      </c>
      <c r="E1103" s="1263"/>
      <c r="F1103" s="1263"/>
      <c r="I1103" s="491"/>
    </row>
    <row r="1104" spans="1:9">
      <c r="A1104" s="403"/>
      <c r="B1104" s="403"/>
      <c r="C1104" s="403"/>
      <c r="D1104" s="528"/>
      <c r="I1104" s="491"/>
    </row>
    <row r="1105" spans="1:9">
      <c r="A1105" s="403"/>
      <c r="B1105" s="486" t="s">
        <v>2762</v>
      </c>
      <c r="C1105" s="403"/>
      <c r="D1105" s="1291" t="s">
        <v>1833</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2762</v>
      </c>
      <c r="C1108" s="403"/>
      <c r="D1108" s="1291" t="s">
        <v>1889</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ht="12.5">
      <c r="A1114" s="403"/>
      <c r="B1114" s="403"/>
      <c r="C1114" s="403"/>
      <c r="D1114" s="528"/>
      <c r="I1114" s="481"/>
    </row>
    <row r="1115" spans="1:9">
      <c r="A1115" s="403"/>
      <c r="B1115" s="486" t="s">
        <v>2762</v>
      </c>
      <c r="C1115" s="403"/>
      <c r="D1115" s="1291" t="s">
        <v>1834</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2761</v>
      </c>
      <c r="C1119" s="403"/>
      <c r="D1119" s="1268" t="s">
        <v>1890</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2761</v>
      </c>
      <c r="C1123" s="403"/>
      <c r="D1123" s="1263" t="s">
        <v>1891</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U1" zoomScale="63" zoomScaleNormal="63"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50"/>
    </row>
    <row r="5" spans="1:58" ht="13" customHeight="1">
      <c r="BD5" s="3" t="s">
        <v>2512</v>
      </c>
      <c r="BE5">
        <f>SUMIF($AC$718:$AC$752,"&lt;=20%",$G$718:G$752)</f>
        <v>9</v>
      </c>
      <c r="BF5" s="3" t="s">
        <v>2517</v>
      </c>
    </row>
    <row r="6" spans="1:58" ht="13" customHeight="1">
      <c r="BD6" s="3" t="s">
        <v>2513</v>
      </c>
      <c r="BE6" s="1253">
        <f>SUMIF($AC$718:$AC$752,"&lt;=25%",$G$718:G$752)-SUM($BE$5:BE5)</f>
        <v>0</v>
      </c>
    </row>
    <row r="7" spans="1:58" ht="13" customHeight="1">
      <c r="BD7" s="1251" t="s">
        <v>2505</v>
      </c>
      <c r="BE7" s="1253">
        <f>SUMIF($AC$718:$AC$752,"&lt;=30%",$G$718:G$752)-SUM($BE$5:BE6)</f>
        <v>26</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2514</v>
      </c>
      <c r="BE8" s="1253">
        <f>SUMIF($AC$718:$AC$752,"&lt;=35%",$G$718:G$752)-SUM($BE$5:BE7)</f>
        <v>0</v>
      </c>
    </row>
    <row r="9" spans="1:58" ht="13" customHeight="1">
      <c r="A9" s="1373" t="s">
        <v>2079</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2506</v>
      </c>
      <c r="BE9" s="1253">
        <f>SUMIF($AC$718:$AC$752,"&lt;=40%",$G$718:G$752)-SUM($BE$5:BE8)</f>
        <v>0</v>
      </c>
    </row>
    <row r="10" spans="1:58" ht="13" customHeight="1">
      <c r="A10" s="1373" t="s">
        <v>2463</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2515</v>
      </c>
      <c r="BE10" s="1253">
        <f>SUMIF($AC$718:$AC$752,"&lt;=45%",$G$718:G$752)-SUM($BE$5:BE9)</f>
        <v>0</v>
      </c>
    </row>
    <row r="11" spans="1:58" ht="13"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2507</v>
      </c>
      <c r="BE11" s="1253">
        <f>SUMIF($AC$718:$AC$752,"&lt;=50%",$G$718:G$752)-SUM($BE$5:BE10)</f>
        <v>59</v>
      </c>
    </row>
    <row r="12" spans="1:58" ht="13"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2516</v>
      </c>
      <c r="BE12" s="1253">
        <f>SUMIF($AC$718:$AC$752,"&lt;=55%",$G$718:G$752)-SUM($BE$5:BE11)</f>
        <v>0</v>
      </c>
    </row>
    <row r="13" spans="1:58" ht="13" customHeight="1">
      <c r="A13" s="1261" t="s">
        <v>2080</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2508</v>
      </c>
      <c r="BE13" s="1253">
        <f>SUMIF($AC$718:$AC$752,"&lt;=60%",$G$718:G$752)-SUM($BE$5:BE12)</f>
        <v>27</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6</v>
      </c>
    </row>
    <row r="16" spans="1:58" ht="13" customHeight="1">
      <c r="A16" s="57" t="s">
        <v>2081</v>
      </c>
      <c r="C16" s="4"/>
      <c r="D16" s="4"/>
      <c r="E16" s="4"/>
      <c r="F16" s="4"/>
      <c r="G16" s="4"/>
      <c r="H16" s="1420" t="s">
        <v>2611</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657</v>
      </c>
      <c r="BE16" s="1253" t="str">
        <f>Application!H18</f>
        <v xml:space="preserve">3900 Thornton </v>
      </c>
    </row>
    <row r="17" spans="1:58" ht="13" customHeight="1">
      <c r="BD17" s="1251" t="s">
        <v>2523</v>
      </c>
      <c r="BE17" s="1253">
        <f>Application!AA934</f>
        <v>0</v>
      </c>
    </row>
    <row r="18" spans="1:58" ht="13" customHeight="1">
      <c r="A18" s="57" t="s">
        <v>101</v>
      </c>
      <c r="C18" s="4"/>
      <c r="D18" s="4"/>
      <c r="E18" s="4"/>
      <c r="F18" s="4"/>
      <c r="G18" s="4"/>
      <c r="H18" s="1417" t="s">
        <v>2612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52" t="s">
        <v>2524</v>
      </c>
      <c r="BE18" s="1253">
        <f>'CalHFA Addendum'!N11</f>
        <v>0</v>
      </c>
    </row>
    <row r="19" spans="1:58" ht="13" customHeight="1">
      <c r="BD19" s="1251" t="s">
        <v>2525</v>
      </c>
      <c r="BE19" s="1253">
        <f ca="1">Application!M26</f>
        <v>4556549</v>
      </c>
    </row>
    <row r="20" spans="1:58" ht="13"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2526</v>
      </c>
      <c r="BE20" s="1253">
        <f ca="1">Application!M27</f>
        <v>0</v>
      </c>
    </row>
    <row r="21" spans="1:58" ht="13"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2527</v>
      </c>
      <c r="BE21" s="1253">
        <f>Application!AM554</f>
        <v>52605800.814821787</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 ca="1">'Sources and Uses Budget'!B105</f>
        <v>100403334</v>
      </c>
      <c r="BF22" s="3" t="s">
        <v>2600</v>
      </c>
    </row>
    <row r="23" spans="1:58" ht="13" customHeight="1">
      <c r="A23" s="1293" t="s">
        <v>2149</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2528</v>
      </c>
      <c r="BE23" s="1253">
        <f>'Sources and Uses Budget'!B4</f>
        <v>6600000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2529</v>
      </c>
      <c r="BE24" s="1253">
        <f>Application!AG450</f>
        <v>111351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419">
        <f ca="1">'Basis &amp; Credits'!AB56</f>
        <v>4556549</v>
      </c>
      <c r="N26" s="1419"/>
      <c r="O26" s="1419"/>
      <c r="P26" s="1419"/>
      <c r="Q26" s="1419"/>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4">
        <f ca="1">'Basis &amp; Credits'!AB78</f>
        <v>0</v>
      </c>
      <c r="N27" s="1354"/>
      <c r="O27" s="1354"/>
      <c r="P27" s="1354"/>
      <c r="Q27" s="1354"/>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4" t="s">
        <v>2150</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2532</v>
      </c>
      <c r="BE29" s="1253"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2533</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333" t="s">
        <v>670</v>
      </c>
      <c r="P33" s="1333"/>
      <c r="Q33" s="1415" t="s">
        <v>2151</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East Bay Region: Alameda and Contra Costa Counties</v>
      </c>
    </row>
    <row r="34" spans="1:57" ht="13" customHeight="1">
      <c r="A34" s="1414" t="s">
        <v>2152</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2535</v>
      </c>
      <c r="BE34" s="1253" t="str">
        <f>Application!I185</f>
        <v>3900 Thornton Avenue</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2536</v>
      </c>
      <c r="BE35" s="1253"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2537</v>
      </c>
      <c r="BE36" s="1253" t="str">
        <f>Application!I189</f>
        <v>Fremont</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2538</v>
      </c>
      <c r="BE37" s="1253" t="str">
        <f>Application!T189</f>
        <v>Alameda</v>
      </c>
    </row>
    <row r="38" spans="1:57" ht="13" customHeight="1">
      <c r="A38" s="3"/>
      <c r="AZ38" s="20"/>
      <c r="BD38" s="1252" t="s">
        <v>2539</v>
      </c>
      <c r="BE38" s="1253">
        <f>Application!I190</f>
        <v>94536</v>
      </c>
    </row>
    <row r="39" spans="1:57" ht="13" customHeight="1">
      <c r="A39" s="1263" t="s">
        <v>2153</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2540</v>
      </c>
      <c r="BE39" s="1253">
        <f>Application!AG437</f>
        <v>128</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384</v>
      </c>
      <c r="BE40" s="1253">
        <f>Application!AG440</f>
        <v>127</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287</v>
      </c>
      <c r="BE41" s="1253">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2541</v>
      </c>
      <c r="BE42" s="1255">
        <f>Application!AC753</f>
        <v>0.47322834645669298</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2542</v>
      </c>
      <c r="BE43" s="1255">
        <f>Application!AH753</f>
        <v>0.47324854199847338</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2543</v>
      </c>
      <c r="BE44" s="1253">
        <f ca="1">Application!AC454</f>
        <v>784401.046875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293" t="s">
        <v>2154</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2545</v>
      </c>
      <c r="BE46" s="1253" t="b">
        <f>Application!T195="Yes"</f>
        <v>1</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2546</v>
      </c>
      <c r="BE47" s="1253" t="b">
        <f>Application!T196="Yes"</f>
        <v>0</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2547</v>
      </c>
      <c r="BE48" s="1253" t="str">
        <f>Application!M243</f>
        <v>RCD GP II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2548</v>
      </c>
      <c r="BE49" s="1253" t="str">
        <f>Application!M246</f>
        <v>Jake Rosen</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Resources for Community Development</v>
      </c>
    </row>
    <row r="51" spans="1:57" ht="13" customHeight="1">
      <c r="A51" s="1263" t="s">
        <v>2155</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2550</v>
      </c>
      <c r="BE51" s="1253">
        <f>Application!M251</f>
        <v>0</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2551</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63" t="s">
        <v>2156</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2553</v>
      </c>
      <c r="BE54" s="1253">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2554</v>
      </c>
      <c r="BE55" s="1253">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2555</v>
      </c>
      <c r="BE56" s="1253">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2556</v>
      </c>
      <c r="BE57" s="1253" t="str">
        <f>Application!H287</f>
        <v xml:space="preserve">Resources for Community Development </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2557</v>
      </c>
      <c r="BE58" s="1253" t="str">
        <f>Application!H288</f>
        <v xml:space="preserve">2220 Oxford Street </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Berkeley, CA 94704</v>
      </c>
    </row>
    <row r="60" spans="1:57" ht="13" customHeight="1">
      <c r="A60" s="1263" t="s">
        <v>2157</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2559</v>
      </c>
      <c r="BE60" s="1253" t="str">
        <f>Application!H290</f>
        <v>Jake Rosen</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2560</v>
      </c>
      <c r="BE61" s="1253" t="str">
        <f>Application!H293</f>
        <v>jrosen@rcdhousing.org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0.92774874249796524</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416" t="s">
        <v>2159</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2598</v>
      </c>
      <c r="BE65" s="1253" t="str">
        <f>Z205</f>
        <v>(select)</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2563</v>
      </c>
      <c r="BE66" s="1253"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 ca="1">'Sources and Uses Budget'!D105</f>
        <v>1348337</v>
      </c>
    </row>
    <row r="69" spans="1:57" ht="13" customHeight="1">
      <c r="A69" s="1416" t="s">
        <v>2160</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2566</v>
      </c>
      <c r="BE69" s="1253" t="str">
        <f>Application!W700</f>
        <v>California Municipal Finance Authority</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2567</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414" t="s">
        <v>2161</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2569</v>
      </c>
      <c r="BE72" s="1253">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2570</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786" t="s">
        <v>2162</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51" t="s">
        <v>2572</v>
      </c>
      <c r="BE75" s="1253">
        <f>'Points System'!AF808</f>
        <v>10</v>
      </c>
    </row>
    <row r="76" spans="1:57" ht="13"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52" t="s">
        <v>2573</v>
      </c>
      <c r="BE76" s="1253">
        <f>'Points System'!AF811</f>
        <v>10</v>
      </c>
    </row>
    <row r="77" spans="1:57" ht="13"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51" t="s">
        <v>2574</v>
      </c>
      <c r="BE77" s="1253">
        <f ca="1">'Points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6" t="s">
        <v>2163</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2576</v>
      </c>
      <c r="BE79" s="1253">
        <f>'Points System'!AF815</f>
        <v>9</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2577</v>
      </c>
      <c r="BE80" s="1253">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2578</v>
      </c>
      <c r="BE81" s="1253">
        <f ca="1">'Points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3" t="s">
        <v>2164</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2580</v>
      </c>
      <c r="BE83" s="1257">
        <f ca="1">'Tie Breaker'!H5</f>
        <v>0.85328606753143088</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2581</v>
      </c>
      <c r="BE84" s="1253" t="str">
        <f>Application!O153</f>
        <v>City of Fremont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Karena Shackelford</v>
      </c>
    </row>
    <row r="86" spans="1:57" ht="13" customHeight="1">
      <c r="A86" s="1263" t="s">
        <v>2165</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2583</v>
      </c>
      <c r="BE86" s="1253"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2584</v>
      </c>
      <c r="BE87" s="1253" t="str">
        <f>Application!O156</f>
        <v>3300 Capitol Avenue, Building 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Fremont</v>
      </c>
    </row>
    <row r="89" spans="1:57" ht="13" customHeight="1">
      <c r="A89" s="1785" t="s">
        <v>2166</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51" t="s">
        <v>2586</v>
      </c>
      <c r="BE89" s="1253">
        <f>Application!O158</f>
        <v>94568</v>
      </c>
    </row>
    <row r="90" spans="1:57" ht="13"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52" t="s">
        <v>2587</v>
      </c>
      <c r="BE90" s="1253" t="str">
        <f>Application!H16</f>
        <v>Resources for Community Development</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 xml:space="preserve">2220 Oxford Street </v>
      </c>
    </row>
    <row r="92" spans="1:57" ht="13" customHeight="1">
      <c r="A92" s="1786" t="s">
        <v>2167</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52" t="s">
        <v>2589</v>
      </c>
      <c r="BE92" s="1253" t="str">
        <f>Application!M234</f>
        <v xml:space="preserve">Berkeley </v>
      </c>
    </row>
    <row r="93" spans="1:57" ht="13"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51" t="s">
        <v>2590</v>
      </c>
      <c r="BE93" s="1253" t="str">
        <f>Application!W234</f>
        <v>CA</v>
      </c>
    </row>
    <row r="94" spans="1:57" ht="13"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52" t="s">
        <v>2591</v>
      </c>
      <c r="BE94" s="1253">
        <f>Application!AC234</f>
        <v>94704</v>
      </c>
    </row>
    <row r="95" spans="1:57" ht="13"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51" t="s">
        <v>2592</v>
      </c>
      <c r="BE95" s="1253" t="str">
        <f>Application!M235</f>
        <v>Jake Rosen</v>
      </c>
    </row>
    <row r="96" spans="1:57" ht="13"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52" t="s">
        <v>2593</v>
      </c>
      <c r="BE96" s="1253" t="str">
        <f>Application!M237</f>
        <v>jrosen@rcdhousing.org</v>
      </c>
    </row>
    <row r="97" spans="1:57" ht="13"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51" t="s">
        <v>2594</v>
      </c>
      <c r="BE97" s="1253" t="str">
        <f>Application!M248</f>
        <v>jrosen@rcdhousing.org</v>
      </c>
    </row>
    <row r="98" spans="1:57" ht="13"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52" t="s">
        <v>2595</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787" t="s">
        <v>2168</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52" t="s">
        <v>2597</v>
      </c>
      <c r="BE100" s="1253" t="str">
        <f>Application!L279</f>
        <v>jrosen@rcdhousing.org</v>
      </c>
    </row>
    <row r="101" spans="1:57" ht="13"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2602</v>
      </c>
      <c r="BE101">
        <f ca="1">'Sources and Uses Budget'!C105</f>
        <v>99054997</v>
      </c>
    </row>
    <row r="102" spans="1:57" ht="13"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2603</v>
      </c>
      <c r="BE102" t="b">
        <f>T197="Yes"</f>
        <v>0</v>
      </c>
    </row>
    <row r="103" spans="1:57" ht="13"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7" t="s">
        <v>2169</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3"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8"/>
      <c r="H113" s="1788"/>
      <c r="I113" s="3" t="s">
        <v>182</v>
      </c>
      <c r="L113" s="1788"/>
      <c r="M113" s="1788"/>
      <c r="N113" s="1788"/>
      <c r="O113" s="1788"/>
      <c r="P113" s="1795" t="s">
        <v>2244</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0"/>
      <c r="D115" s="1800"/>
      <c r="E115" s="1800"/>
      <c r="F115" s="1800"/>
      <c r="G115" s="1800"/>
      <c r="H115" s="1800"/>
      <c r="I115" s="1800"/>
      <c r="J115" s="1800"/>
      <c r="K115" s="1800"/>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8"/>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Alameda</v>
      </c>
      <c r="DH122" s="1655"/>
      <c r="DI122" s="1655"/>
      <c r="DJ122" s="1655"/>
      <c r="DK122" s="1655"/>
      <c r="DL122" s="1655"/>
      <c r="DM122" s="1656"/>
    </row>
    <row r="123" spans="1:117" ht="13" customHeight="1">
      <c r="A123" s="3"/>
      <c r="B123" s="3"/>
      <c r="T123" s="3"/>
      <c r="U123" s="3"/>
      <c r="V123" s="3"/>
      <c r="W123" s="3"/>
      <c r="X123" s="3"/>
      <c r="Y123" s="1788"/>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8" t="s">
        <v>2613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37" t="s">
        <v>2614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CR155" s="31"/>
      <c r="CS155" s="32"/>
      <c r="CT155" s="32"/>
      <c r="CU155" s="32"/>
      <c r="CV155" s="32"/>
      <c r="CW155" s="32"/>
      <c r="CX155" s="14"/>
      <c r="CY155" s="31"/>
      <c r="CZ155" s="14"/>
      <c r="DA155" s="14"/>
      <c r="DB155" s="14"/>
      <c r="DC155" s="14"/>
      <c r="DD155" s="14"/>
    </row>
    <row r="156" spans="1:108" ht="13" customHeight="1">
      <c r="D156" t="s">
        <v>313</v>
      </c>
      <c r="O156" s="1372" t="s">
        <v>2615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8" t="s">
        <v>2616</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1">
        <v>94568</v>
      </c>
      <c r="P158" s="1791"/>
      <c r="Q158" s="1791"/>
      <c r="R158" s="1791"/>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0" t="s">
        <v>2617</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4" t="s">
        <v>2618</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1" t="s">
        <v>2219</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2" t="s">
        <v>2104</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3" t="s">
        <v>546</v>
      </c>
      <c r="V175" s="1333"/>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6">
        <v>24</v>
      </c>
      <c r="V176" s="1426"/>
      <c r="W176" s="1" t="s">
        <v>306</v>
      </c>
      <c r="X176" s="1783">
        <v>429</v>
      </c>
      <c r="Y176" s="1783"/>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3" t="s">
        <v>670</v>
      </c>
      <c r="S177" s="1333"/>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2"/>
      <c r="AG178" s="1782"/>
      <c r="AH178" s="1" t="s">
        <v>306</v>
      </c>
      <c r="AI178" s="1804"/>
      <c r="AJ178" s="1804"/>
      <c r="AK178" s="1804"/>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3" t="s">
        <v>670</v>
      </c>
      <c r="Y180" s="1333"/>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9" t="str">
        <f>H18</f>
        <v xml:space="preserve">3900 Thornton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9" t="s">
        <v>2619</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7" t="s">
        <v>2616</v>
      </c>
      <c r="J189" s="1372"/>
      <c r="K189" s="1372"/>
      <c r="L189" s="1372"/>
      <c r="M189" s="1372"/>
      <c r="N189" s="1372"/>
      <c r="O189" s="1372"/>
      <c r="P189" s="1372"/>
      <c r="Q189" t="s">
        <v>583</v>
      </c>
      <c r="T189" s="1372" t="s">
        <v>477</v>
      </c>
      <c r="U189" s="1372"/>
      <c r="V189" s="1372"/>
      <c r="W189" s="1372"/>
      <c r="X189" s="1372"/>
      <c r="Y189" s="1372"/>
      <c r="Z189" s="1372"/>
      <c r="AA189" s="1372"/>
      <c r="AB189" s="1372"/>
      <c r="AC189" s="1372"/>
      <c r="AD189" s="1372"/>
      <c r="AE189" s="1372"/>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9">
        <v>94536</v>
      </c>
      <c r="J190" s="1349"/>
      <c r="K190" s="1349"/>
      <c r="L190" s="1349"/>
      <c r="M190" s="1349"/>
      <c r="N190" s="1349"/>
      <c r="O190" t="s">
        <v>586</v>
      </c>
      <c r="T190" s="1789">
        <v>6001441702</v>
      </c>
      <c r="U190" s="1789"/>
      <c r="V190" s="1789"/>
      <c r="W190" s="1789"/>
      <c r="X190" s="1789"/>
      <c r="Y190" s="1789"/>
      <c r="Z190" s="1789"/>
      <c r="AA190" s="1789"/>
      <c r="AB190" s="1789"/>
      <c r="AC190" s="1789"/>
      <c r="AD190" s="1789"/>
      <c r="AE190" s="1789"/>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3" t="s">
        <v>2620</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3" t="s">
        <v>1939</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3" t="s">
        <v>670</v>
      </c>
      <c r="AI194" s="1333"/>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3" t="s">
        <v>546</v>
      </c>
      <c r="U195" s="1333"/>
      <c r="W195" t="s">
        <v>685</v>
      </c>
      <c r="AH195" s="1333">
        <v>14</v>
      </c>
      <c r="AI195" s="1333"/>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3" t="s">
        <v>670</v>
      </c>
      <c r="U196" s="1403"/>
      <c r="W196" t="s">
        <v>686</v>
      </c>
      <c r="AH196" s="1333">
        <v>24</v>
      </c>
      <c r="AI196" s="1333"/>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3" t="s">
        <v>670</v>
      </c>
      <c r="U197" s="1403"/>
      <c r="W197" t="s">
        <v>687</v>
      </c>
      <c r="AH197" s="1333">
        <v>10</v>
      </c>
      <c r="AI197" s="1333"/>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3"/>
      <c r="U198" s="1403"/>
      <c r="V198"/>
      <c r="X198" s="1414" t="s">
        <v>2518</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3"/>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3"/>
      <c r="U200" s="1333"/>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9" t="s">
        <v>385</v>
      </c>
      <c r="E204" s="1359"/>
      <c r="F204" s="1359"/>
      <c r="G204" s="1359"/>
      <c r="H204" s="1359"/>
      <c r="I204" s="1359"/>
      <c r="J204" s="1359"/>
      <c r="K204" s="1359"/>
      <c r="L204" s="1359"/>
      <c r="M204" s="1359"/>
      <c r="P204" s="1802">
        <f ca="1">M26</f>
        <v>4556549</v>
      </c>
      <c r="Q204" s="1781"/>
      <c r="R204" s="1781"/>
      <c r="S204" s="1781"/>
      <c r="T204" s="1781"/>
      <c r="U204" s="1781"/>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1" t="s">
        <v>1248</v>
      </c>
      <c r="E205" s="1359"/>
      <c r="F205" s="1359"/>
      <c r="G205" s="1359"/>
      <c r="H205" s="1359"/>
      <c r="I205" s="1359"/>
      <c r="J205" s="1359"/>
      <c r="K205" s="1359"/>
      <c r="L205" s="1359"/>
      <c r="M205" s="1359"/>
      <c r="P205" s="1781">
        <f ca="1">M27</f>
        <v>0</v>
      </c>
      <c r="Q205" s="1781"/>
      <c r="R205" s="1781"/>
      <c r="S205" s="1781"/>
      <c r="T205" s="1781"/>
      <c r="U205" s="1781"/>
      <c r="V205" s="28"/>
      <c r="W205" s="3" t="s">
        <v>1721</v>
      </c>
      <c r="Z205" s="1809" t="s">
        <v>1185</v>
      </c>
      <c r="AA205" s="1809"/>
      <c r="AB205" s="1809"/>
      <c r="AC205" s="1809"/>
      <c r="AD205" s="1809"/>
      <c r="AE205" s="1809"/>
      <c r="AF205" s="1809"/>
      <c r="AG205" s="1809"/>
      <c r="AH205" s="1809"/>
      <c r="AI205" s="1809"/>
      <c r="AJ205" s="1809"/>
      <c r="AK205" s="1809"/>
      <c r="AL205" s="1809"/>
      <c r="AM205" s="1809"/>
      <c r="AN205" s="1809"/>
      <c r="AP205" s="1336"/>
      <c r="AQ205" s="1336"/>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8" t="s">
        <v>2753</v>
      </c>
      <c r="E208" s="1418"/>
      <c r="F208" s="1418"/>
      <c r="G208" s="1418"/>
      <c r="H208" s="1418"/>
      <c r="I208" s="1418"/>
      <c r="J208" s="1418"/>
      <c r="K208" s="1418"/>
      <c r="L208" s="1418"/>
      <c r="M208" s="1418"/>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8" t="s">
        <v>1858</v>
      </c>
      <c r="E211" s="1418"/>
      <c r="F211" s="1418"/>
      <c r="G211" s="1418"/>
      <c r="H211" s="1418"/>
      <c r="I211" s="1418"/>
      <c r="J211" s="1418"/>
      <c r="K211" s="1418"/>
      <c r="L211" s="1418"/>
      <c r="M211" s="1418"/>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3">
        <v>0</v>
      </c>
      <c r="R212" s="1333"/>
      <c r="T212" s="1796">
        <f>IFERROR(Q212/AG440,0)</f>
        <v>0</v>
      </c>
      <c r="U212" s="1797"/>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7" t="s">
        <v>1064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2470</v>
      </c>
      <c r="AD220" s="1810"/>
      <c r="AE220" s="1810"/>
      <c r="AF220" s="1810"/>
      <c r="AG220" s="1810"/>
      <c r="AH220" s="1810"/>
      <c r="AI220" s="1810"/>
      <c r="AJ220" s="1810"/>
      <c r="AK220" s="1810"/>
      <c r="AL220" s="1810"/>
      <c r="AM220" s="1810"/>
      <c r="AN220" s="1810"/>
      <c r="AO220" s="1810"/>
      <c r="AP220" s="1810"/>
      <c r="AQ220" s="1810"/>
      <c r="BA220" s="3"/>
      <c r="BC220" t="s">
        <v>300</v>
      </c>
    </row>
    <row r="221" spans="1:108" ht="13" customHeight="1">
      <c r="A221" s="2"/>
      <c r="B221" s="14"/>
      <c r="C221" s="2"/>
      <c r="BA221" s="3"/>
    </row>
    <row r="222" spans="1:108" ht="13"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0" t="str">
        <f>H16</f>
        <v>Resources for Community Development</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6" t="s">
        <v>539</v>
      </c>
      <c r="BG232" s="242">
        <f>IF(AND(AND($M$249="nonprofit",$M$257="nonprofit",$M$265="for profit")),2,0)</f>
        <v>0</v>
      </c>
    </row>
    <row r="233" spans="1:59" ht="13" customHeight="1">
      <c r="D233" s="4" t="s">
        <v>85</v>
      </c>
      <c r="E233" s="4"/>
      <c r="F233" s="4"/>
      <c r="G233" s="4"/>
      <c r="H233" s="4"/>
      <c r="I233" s="4"/>
      <c r="J233" s="4"/>
      <c r="K233" s="4"/>
      <c r="M233" s="1417" t="s">
        <v>2621</v>
      </c>
      <c r="N233" s="1418"/>
      <c r="O233" s="1418"/>
      <c r="P233" s="1418"/>
      <c r="Q233" s="1418"/>
      <c r="R233" s="1418"/>
      <c r="S233" s="1418"/>
      <c r="T233" s="1418"/>
      <c r="U233" s="1418"/>
      <c r="V233" s="1418"/>
      <c r="W233" s="1418"/>
      <c r="X233" s="1418"/>
      <c r="Y233" s="1418"/>
      <c r="Z233" s="1418"/>
      <c r="AA233" s="1418"/>
      <c r="AB233" s="1418"/>
      <c r="AC233" s="1418"/>
      <c r="AD233" s="1418"/>
      <c r="AE233" s="1418"/>
      <c r="BB233" s="206" t="s">
        <v>539</v>
      </c>
      <c r="BG233" s="242">
        <f>IF(AND(AND($M$249="nonprofit",$M$257="for profit",$M$265="nonprofit")),2,0)</f>
        <v>0</v>
      </c>
    </row>
    <row r="234" spans="1:59" ht="13" customHeight="1">
      <c r="D234" s="4" t="s">
        <v>581</v>
      </c>
      <c r="E234" s="4"/>
      <c r="M234" s="1417" t="s">
        <v>2622</v>
      </c>
      <c r="N234" s="1418"/>
      <c r="O234" s="1418"/>
      <c r="P234" s="1418"/>
      <c r="Q234" s="1418"/>
      <c r="R234" s="1418"/>
      <c r="S234" s="1418"/>
      <c r="T234" s="1418"/>
      <c r="V234" s="33" t="s">
        <v>86</v>
      </c>
      <c r="W234" s="1546" t="s">
        <v>2623</v>
      </c>
      <c r="X234" s="1437"/>
      <c r="Y234" s="4" t="s">
        <v>584</v>
      </c>
      <c r="AC234" s="1418">
        <v>94704</v>
      </c>
      <c r="AD234" s="1418"/>
      <c r="AE234" s="1418"/>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7" t="s">
        <v>2624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6"/>
      <c r="BG235" s="205"/>
    </row>
    <row r="236" spans="1:59" ht="13" customHeight="1">
      <c r="D236" s="4" t="s">
        <v>88</v>
      </c>
      <c r="E236" s="4"/>
      <c r="F236" s="4"/>
      <c r="M236" s="1733" t="s">
        <v>2625</v>
      </c>
      <c r="N236" s="1347"/>
      <c r="O236" s="1347"/>
      <c r="P236" s="1347"/>
      <c r="Q236" s="1347"/>
      <c r="R236" s="1347"/>
      <c r="S236" s="4" t="s">
        <v>206</v>
      </c>
      <c r="T236" s="4"/>
      <c r="U236" s="1437">
        <v>329</v>
      </c>
      <c r="V236" s="1437"/>
      <c r="W236" s="1437"/>
      <c r="X236" s="4" t="s">
        <v>89</v>
      </c>
      <c r="Z236" s="1347"/>
      <c r="AA236" s="1347"/>
      <c r="AB236" s="1347"/>
      <c r="AC236" s="1347"/>
      <c r="AD236" s="1347"/>
      <c r="AE236" s="1347"/>
      <c r="AU236" s="4"/>
      <c r="AV236" s="4"/>
      <c r="AW236" s="4"/>
      <c r="AX236" s="4"/>
      <c r="AY236" s="4"/>
      <c r="AZ236" s="4"/>
      <c r="BB236" s="205" t="s">
        <v>538</v>
      </c>
      <c r="BG236" s="242">
        <f>IF(AND(AND($M$249="nonprofit",$M$257="nonprofit",$M$265="(select one)")),1,0)</f>
        <v>0</v>
      </c>
    </row>
    <row r="237" spans="1:59" ht="13" customHeight="1">
      <c r="D237" s="4" t="s">
        <v>90</v>
      </c>
      <c r="E237" s="4"/>
      <c r="F237" s="4"/>
      <c r="M237" s="1784" t="s">
        <v>2626</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9" t="s">
        <v>377</v>
      </c>
      <c r="N238" s="1349"/>
      <c r="O238" s="1349"/>
      <c r="P238" s="1349"/>
      <c r="Q238" s="1349"/>
      <c r="R238" s="1349"/>
      <c r="S238" s="1349"/>
      <c r="T238" s="1349"/>
      <c r="U238" s="205" t="s">
        <v>907</v>
      </c>
      <c r="V238" s="205"/>
      <c r="W238" s="205"/>
      <c r="X238" s="205"/>
      <c r="Y238" s="205"/>
      <c r="Z238" s="205"/>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1" t="s">
        <v>2627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2629</v>
      </c>
      <c r="AG243" s="1421"/>
      <c r="AH243" s="1421"/>
      <c r="AI243" s="1421"/>
      <c r="AJ243" s="1421"/>
      <c r="AK243" s="1421"/>
      <c r="AU243" s="4"/>
      <c r="AV243" s="4"/>
      <c r="AW243" s="4"/>
      <c r="AX243" s="4"/>
      <c r="AY243" s="4"/>
      <c r="BG243">
        <f>SUM(BG226:BG241)</f>
        <v>0</v>
      </c>
    </row>
    <row r="244" spans="1:67" ht="13" customHeight="1">
      <c r="A244" s="19"/>
      <c r="B244" s="4"/>
      <c r="C244" s="4"/>
      <c r="D244" s="4" t="s">
        <v>85</v>
      </c>
      <c r="E244" s="4"/>
      <c r="F244" s="4"/>
      <c r="G244" s="4"/>
      <c r="H244" s="4"/>
      <c r="I244" s="4"/>
      <c r="J244" s="4"/>
      <c r="K244" s="4"/>
      <c r="L244" s="4"/>
      <c r="M244" s="1418" t="s">
        <v>2628</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
        <v>2630</v>
      </c>
      <c r="N245" s="1418"/>
      <c r="O245" s="1418"/>
      <c r="P245" s="1418"/>
      <c r="Q245" s="1418"/>
      <c r="R245" s="1418"/>
      <c r="S245" s="1418"/>
      <c r="T245" s="1418"/>
      <c r="V245" s="33" t="s">
        <v>86</v>
      </c>
      <c r="W245" s="1546" t="s">
        <v>2623</v>
      </c>
      <c r="X245" s="1437"/>
      <c r="Y245" s="4" t="s">
        <v>584</v>
      </c>
      <c r="AC245" s="1418">
        <v>94704</v>
      </c>
      <c r="AD245" s="1418"/>
      <c r="AE245" s="1418"/>
      <c r="AF245" s="3" t="s">
        <v>1181</v>
      </c>
      <c r="AU245" s="4"/>
      <c r="AV245" s="4"/>
      <c r="AW245" s="4"/>
      <c r="AX245" s="4"/>
      <c r="AY245" s="4"/>
      <c r="BB245" s="4" t="s">
        <v>280</v>
      </c>
      <c r="BG245">
        <v>2</v>
      </c>
      <c r="BH245" t="s">
        <v>567</v>
      </c>
      <c r="BO245" s="240" t="str">
        <f>VLOOKUP(BG243,BG244:BH247,2,FALSE)</f>
        <v/>
      </c>
    </row>
    <row r="246" spans="1:67" ht="13" customHeight="1">
      <c r="A246" s="19"/>
      <c r="B246" s="4"/>
      <c r="C246" s="4"/>
      <c r="D246" s="4" t="s">
        <v>87</v>
      </c>
      <c r="E246" s="4"/>
      <c r="F246" s="4"/>
      <c r="G246" s="4"/>
      <c r="H246" s="4"/>
      <c r="I246" s="4"/>
      <c r="J246" s="4"/>
      <c r="K246" s="4"/>
      <c r="L246" s="19"/>
      <c r="M246" s="1418" t="s">
        <v>2624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0.01</v>
      </c>
      <c r="AI246" s="1778"/>
      <c r="AJ246" s="1778"/>
      <c r="AK246" s="1778"/>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7" t="s">
        <v>2625</v>
      </c>
      <c r="N247" s="1347"/>
      <c r="O247" s="1347"/>
      <c r="P247" s="1347"/>
      <c r="Q247" s="1347"/>
      <c r="R247" s="1347"/>
      <c r="S247" s="4" t="s">
        <v>206</v>
      </c>
      <c r="T247" s="4"/>
      <c r="U247" s="1437">
        <v>329</v>
      </c>
      <c r="V247" s="1437"/>
      <c r="W247" s="1437"/>
      <c r="X247" s="4" t="s">
        <v>89</v>
      </c>
      <c r="Z247" s="1347"/>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4" t="s">
        <v>2626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9" t="s">
        <v>377</v>
      </c>
      <c r="N249" s="1349"/>
      <c r="O249" s="1349"/>
      <c r="P249" s="1349"/>
      <c r="Q249" s="1349"/>
      <c r="R249" s="1349"/>
      <c r="S249" s="1349"/>
      <c r="T249" s="1349"/>
      <c r="U249" s="205" t="s">
        <v>907</v>
      </c>
      <c r="V249" s="205"/>
      <c r="W249" s="205"/>
      <c r="X249" s="205"/>
      <c r="Y249" s="205"/>
      <c r="Z249" s="205"/>
      <c r="AA249" s="1794" t="s">
        <v>2611</v>
      </c>
      <c r="AB249" s="1776"/>
      <c r="AC249" s="1776"/>
      <c r="AD249" s="1776"/>
      <c r="AE249" s="1776"/>
      <c r="AF249" s="1776"/>
      <c r="AG249" s="1776"/>
      <c r="AH249" s="1776"/>
      <c r="AI249" s="1776"/>
      <c r="AJ249" s="1776"/>
      <c r="AK249" s="177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3" customHeight="1">
      <c r="A253" s="19"/>
      <c r="B253" s="4"/>
      <c r="C253" s="4"/>
      <c r="D253" s="4" t="s">
        <v>581</v>
      </c>
      <c r="E253" s="4"/>
      <c r="M253" s="1418"/>
      <c r="N253" s="1418"/>
      <c r="O253" s="1418"/>
      <c r="P253" s="1418"/>
      <c r="Q253" s="1418"/>
      <c r="R253" s="1418"/>
      <c r="S253" s="1418"/>
      <c r="T253" s="1418"/>
      <c r="V253" s="33" t="s">
        <v>86</v>
      </c>
      <c r="W253" s="1437"/>
      <c r="X253" s="1437"/>
      <c r="Y253" s="4" t="s">
        <v>584</v>
      </c>
      <c r="AC253" s="1418"/>
      <c r="AD253" s="1418"/>
      <c r="AE253" s="1418"/>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78"/>
      <c r="AI254" s="1778"/>
      <c r="AJ254" s="1778"/>
      <c r="AK254" s="1778"/>
      <c r="AL254" s="4"/>
      <c r="AM254" s="4"/>
      <c r="AN254" s="4"/>
      <c r="AO254" s="4"/>
      <c r="AP254" s="4"/>
      <c r="AQ254" s="4"/>
      <c r="AR254" s="4"/>
      <c r="AS254" s="4"/>
      <c r="AT254" s="4"/>
    </row>
    <row r="255" spans="1:67" ht="13" customHeight="1">
      <c r="A255" s="19"/>
      <c r="B255" s="4"/>
      <c r="C255" s="4"/>
      <c r="D255" s="4" t="s">
        <v>88</v>
      </c>
      <c r="E255" s="4"/>
      <c r="F255" s="4"/>
      <c r="M255" s="1347"/>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3"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9" t="s">
        <v>307</v>
      </c>
      <c r="N257" s="1349"/>
      <c r="O257" s="1349"/>
      <c r="P257" s="1349"/>
      <c r="Q257" s="1349"/>
      <c r="R257" s="1349"/>
      <c r="S257" s="1349"/>
      <c r="T257" s="1349"/>
      <c r="U257" s="205" t="s">
        <v>907</v>
      </c>
      <c r="V257" s="205"/>
      <c r="W257" s="205"/>
      <c r="X257" s="205"/>
      <c r="Y257" s="205"/>
      <c r="Z257" s="205"/>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5" t="s">
        <v>907</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9" t="str">
        <f>IFERROR(BO245,"")</f>
        <v/>
      </c>
      <c r="U267" s="1779"/>
      <c r="V267" s="1779"/>
      <c r="W267" s="1779"/>
      <c r="X267" s="1779"/>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8" t="s">
        <v>307</v>
      </c>
      <c r="E270" s="1418"/>
      <c r="F270" s="1418"/>
      <c r="G270" s="1418"/>
      <c r="H270" s="1418"/>
      <c r="J270" t="s">
        <v>279</v>
      </c>
      <c r="X270" s="1682"/>
      <c r="Y270" s="1682"/>
      <c r="Z270" s="1682"/>
      <c r="AA270" s="1682"/>
      <c r="AB270" s="1682"/>
      <c r="AC270" s="168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1" t="s">
        <v>2611</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8" t="s">
        <v>2628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581</v>
      </c>
      <c r="E276" s="4"/>
      <c r="L276" s="1418" t="s">
        <v>2630</v>
      </c>
      <c r="M276" s="1418"/>
      <c r="N276" s="1418"/>
      <c r="O276" s="1418"/>
      <c r="P276" s="1418"/>
      <c r="Q276" s="1418"/>
      <c r="R276" s="1418"/>
      <c r="S276" s="1418"/>
      <c r="U276" s="33" t="s">
        <v>86</v>
      </c>
      <c r="V276" s="1546" t="s">
        <v>2623</v>
      </c>
      <c r="W276" s="1437"/>
      <c r="X276" s="4" t="s">
        <v>584</v>
      </c>
      <c r="AB276" s="1418">
        <v>94704</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8" t="s">
        <v>2624</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7" t="s">
        <v>2625</v>
      </c>
      <c r="M278" s="1347"/>
      <c r="N278" s="1347"/>
      <c r="O278" s="1347"/>
      <c r="P278" s="1347"/>
      <c r="Q278" s="1347"/>
      <c r="R278" s="4" t="s">
        <v>206</v>
      </c>
      <c r="S278" s="4"/>
      <c r="T278" s="1437">
        <v>329</v>
      </c>
      <c r="U278" s="1437"/>
      <c r="V278" s="1437"/>
      <c r="W278" s="4" t="s">
        <v>89</v>
      </c>
      <c r="Y278" s="1347"/>
      <c r="Z278" s="1347"/>
      <c r="AA278" s="1347"/>
      <c r="AB278" s="1347"/>
      <c r="AC278" s="1347"/>
      <c r="AD278" s="1347"/>
    </row>
    <row r="279" spans="1:51" ht="13" customHeight="1">
      <c r="D279" s="4" t="s">
        <v>90</v>
      </c>
      <c r="E279" s="4"/>
      <c r="F279" s="4"/>
      <c r="L279" s="1784" t="s">
        <v>2626</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 customHeight="1">
      <c r="D280" s="3" t="s">
        <v>624</v>
      </c>
      <c r="E280" s="3"/>
      <c r="F280" s="3"/>
      <c r="G280" s="3"/>
      <c r="H280" s="3"/>
      <c r="I280" s="3"/>
      <c r="L280" s="1546" t="s">
        <v>2631</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2" t="s">
        <v>2632</v>
      </c>
      <c r="I287" s="1372"/>
      <c r="J287" s="1372"/>
      <c r="K287" s="1372"/>
      <c r="L287" s="1372"/>
      <c r="M287" s="1372"/>
      <c r="N287" s="1372"/>
      <c r="O287" s="1372"/>
      <c r="P287" s="1372"/>
      <c r="Q287" s="1372"/>
      <c r="R287" s="1372"/>
      <c r="T287" s="3" t="s">
        <v>568</v>
      </c>
      <c r="V287" s="3"/>
      <c r="W287" s="3"/>
      <c r="X287" s="3"/>
      <c r="Y287" s="3"/>
      <c r="AA287" s="1372" t="s">
        <v>2634</v>
      </c>
      <c r="AB287" s="1372"/>
      <c r="AC287" s="1372"/>
      <c r="AD287" s="1372"/>
      <c r="AE287" s="1372"/>
      <c r="AF287" s="1372"/>
      <c r="AG287" s="1372"/>
      <c r="AH287" s="1372"/>
      <c r="AI287" s="1372"/>
      <c r="AJ287" s="1372"/>
      <c r="AK287" s="1372"/>
    </row>
    <row r="288" spans="1:51" ht="13" customHeight="1">
      <c r="B288" s="3" t="s">
        <v>472</v>
      </c>
      <c r="C288" s="3"/>
      <c r="D288" s="3"/>
      <c r="E288" s="3"/>
      <c r="F288" s="3"/>
      <c r="H288" s="1349" t="s">
        <v>2621</v>
      </c>
      <c r="I288" s="1349"/>
      <c r="J288" s="1349"/>
      <c r="K288" s="1349"/>
      <c r="L288" s="1349"/>
      <c r="M288" s="1349"/>
      <c r="N288" s="1349"/>
      <c r="O288" s="1349"/>
      <c r="P288" s="1349"/>
      <c r="Q288" s="1349"/>
      <c r="R288" s="1349"/>
      <c r="T288" s="3" t="s">
        <v>472</v>
      </c>
      <c r="V288" s="3"/>
      <c r="W288" s="3"/>
      <c r="X288" s="3"/>
      <c r="Y288" s="3"/>
      <c r="AA288" s="1349" t="s">
        <v>2635</v>
      </c>
      <c r="AB288" s="1349"/>
      <c r="AC288" s="1349"/>
      <c r="AD288" s="1349"/>
      <c r="AE288" s="1349"/>
      <c r="AF288" s="1349"/>
      <c r="AG288" s="1349"/>
      <c r="AH288" s="1349"/>
      <c r="AI288" s="1349"/>
      <c r="AJ288" s="1349"/>
      <c r="AK288" s="1349"/>
    </row>
    <row r="289" spans="2:37" ht="13" customHeight="1">
      <c r="B289" s="3" t="s">
        <v>473</v>
      </c>
      <c r="C289" s="3"/>
      <c r="D289" s="3"/>
      <c r="E289" s="3"/>
      <c r="F289" s="3"/>
      <c r="H289" s="1349" t="s">
        <v>2633</v>
      </c>
      <c r="I289" s="1349"/>
      <c r="J289" s="1349"/>
      <c r="K289" s="1349"/>
      <c r="L289" s="1349"/>
      <c r="M289" s="1349"/>
      <c r="N289" s="1349"/>
      <c r="O289" s="1349"/>
      <c r="P289" s="1349"/>
      <c r="Q289" s="1349"/>
      <c r="R289" s="1349"/>
      <c r="T289" s="3" t="s">
        <v>75</v>
      </c>
      <c r="V289" s="3"/>
      <c r="W289" s="3"/>
      <c r="X289" s="3"/>
      <c r="Y289" s="3"/>
      <c r="AA289" s="1349" t="s">
        <v>2636</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2624</v>
      </c>
      <c r="I290" s="1349"/>
      <c r="J290" s="1349"/>
      <c r="K290" s="1349"/>
      <c r="L290" s="1349"/>
      <c r="M290" s="1349"/>
      <c r="N290" s="1349"/>
      <c r="O290" s="1349"/>
      <c r="P290" s="1349"/>
      <c r="Q290" s="1349"/>
      <c r="R290" s="1349"/>
      <c r="T290" s="3" t="s">
        <v>87</v>
      </c>
      <c r="V290" s="3"/>
      <c r="W290" s="3"/>
      <c r="X290" s="3"/>
      <c r="Y290" s="3"/>
      <c r="AA290" s="1349" t="s">
        <v>2637</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2646</v>
      </c>
      <c r="I291" s="1424"/>
      <c r="J291" s="1424"/>
      <c r="K291" s="1424"/>
      <c r="L291" s="1424"/>
      <c r="M291" s="1424"/>
      <c r="N291" s="4" t="s">
        <v>206</v>
      </c>
      <c r="O291" s="4"/>
      <c r="P291" s="1418"/>
      <c r="Q291" s="1418"/>
      <c r="R291" s="1418"/>
      <c r="S291" s="3"/>
      <c r="T291" s="3" t="s">
        <v>88</v>
      </c>
      <c r="V291" s="3"/>
      <c r="W291" s="3"/>
      <c r="X291" s="3"/>
      <c r="Y291" s="3"/>
      <c r="AA291" s="1424">
        <v>6282044830</v>
      </c>
      <c r="AB291" s="1424"/>
      <c r="AC291" s="1424"/>
      <c r="AD291" s="1424"/>
      <c r="AE291" s="1424"/>
      <c r="AF291" s="1424"/>
      <c r="AG291" s="4" t="s">
        <v>206</v>
      </c>
      <c r="AH291" s="4"/>
      <c r="AI291" s="1418"/>
      <c r="AJ291" s="1418"/>
      <c r="AK291" s="1418"/>
    </row>
    <row r="292" spans="2:37" ht="13"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 customHeight="1">
      <c r="B293" s="3" t="s">
        <v>76</v>
      </c>
      <c r="C293" s="3"/>
      <c r="D293" s="3"/>
      <c r="E293" s="3"/>
      <c r="F293" s="3"/>
      <c r="G293" s="3"/>
      <c r="H293" s="1349" t="s">
        <v>2626</v>
      </c>
      <c r="I293" s="1349"/>
      <c r="J293" s="1349"/>
      <c r="K293" s="1349"/>
      <c r="L293" s="1349"/>
      <c r="M293" s="1349"/>
      <c r="N293" s="1372"/>
      <c r="O293" s="1372"/>
      <c r="P293" s="1372"/>
      <c r="Q293" s="1372"/>
      <c r="R293" s="1372"/>
      <c r="S293" s="3"/>
      <c r="T293" s="3" t="s">
        <v>76</v>
      </c>
      <c r="V293" s="3"/>
      <c r="W293" s="3"/>
      <c r="X293" s="3"/>
      <c r="Y293" s="3"/>
      <c r="AA293" s="1349" t="s">
        <v>2647</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2638</v>
      </c>
      <c r="I295" s="1372"/>
      <c r="J295" s="1372"/>
      <c r="K295" s="1372"/>
      <c r="L295" s="1372"/>
      <c r="M295" s="1372"/>
      <c r="N295" s="1372"/>
      <c r="O295" s="1372"/>
      <c r="P295" s="1372"/>
      <c r="Q295" s="1372"/>
      <c r="R295" s="1372"/>
      <c r="T295" s="3" t="s">
        <v>364</v>
      </c>
      <c r="V295" s="3"/>
      <c r="W295" s="3"/>
      <c r="X295" s="3"/>
      <c r="Y295" s="3"/>
      <c r="AA295" s="1372" t="s">
        <v>2642</v>
      </c>
      <c r="AB295" s="1372"/>
      <c r="AC295" s="1372"/>
      <c r="AD295" s="1372"/>
      <c r="AE295" s="1372"/>
      <c r="AF295" s="1372"/>
      <c r="AG295" s="1372"/>
      <c r="AH295" s="1372"/>
      <c r="AI295" s="1372"/>
      <c r="AJ295" s="1372"/>
      <c r="AK295" s="1372"/>
    </row>
    <row r="296" spans="2:37" ht="13" customHeight="1">
      <c r="B296" s="3" t="s">
        <v>472</v>
      </c>
      <c r="C296" s="3"/>
      <c r="D296" s="3"/>
      <c r="E296" s="3"/>
      <c r="F296" s="3"/>
      <c r="H296" s="1349" t="s">
        <v>2639</v>
      </c>
      <c r="I296" s="1349"/>
      <c r="J296" s="1349"/>
      <c r="K296" s="1349"/>
      <c r="L296" s="1349"/>
      <c r="M296" s="1349"/>
      <c r="N296" s="1349"/>
      <c r="O296" s="1349"/>
      <c r="P296" s="1349"/>
      <c r="Q296" s="1349"/>
      <c r="R296" s="1349"/>
      <c r="T296" s="3" t="s">
        <v>472</v>
      </c>
      <c r="V296" s="3"/>
      <c r="W296" s="3"/>
      <c r="X296" s="3"/>
      <c r="Y296" s="3"/>
      <c r="AA296" s="1349" t="s">
        <v>2643</v>
      </c>
      <c r="AB296" s="1349"/>
      <c r="AC296" s="1349"/>
      <c r="AD296" s="1349"/>
      <c r="AE296" s="1349"/>
      <c r="AF296" s="1349"/>
      <c r="AG296" s="1349"/>
      <c r="AH296" s="1349"/>
      <c r="AI296" s="1349"/>
      <c r="AJ296" s="1349"/>
      <c r="AK296" s="1349"/>
    </row>
    <row r="297" spans="2:37" ht="13" customHeight="1">
      <c r="B297" s="3" t="s">
        <v>473</v>
      </c>
      <c r="C297" s="3"/>
      <c r="D297" s="3"/>
      <c r="E297" s="3"/>
      <c r="F297" s="3"/>
      <c r="H297" s="1349" t="s">
        <v>2640</v>
      </c>
      <c r="I297" s="1349"/>
      <c r="J297" s="1349"/>
      <c r="K297" s="1349"/>
      <c r="L297" s="1349"/>
      <c r="M297" s="1349"/>
      <c r="N297" s="1349"/>
      <c r="O297" s="1349"/>
      <c r="P297" s="1349"/>
      <c r="Q297" s="1349"/>
      <c r="R297" s="1349"/>
      <c r="T297" s="3" t="s">
        <v>75</v>
      </c>
      <c r="V297" s="3"/>
      <c r="W297" s="3"/>
      <c r="X297" s="3"/>
      <c r="Y297" s="3"/>
      <c r="AA297" s="1349" t="s">
        <v>2644</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2641</v>
      </c>
      <c r="I298" s="1349"/>
      <c r="J298" s="1349"/>
      <c r="K298" s="1349"/>
      <c r="L298" s="1349"/>
      <c r="M298" s="1349"/>
      <c r="N298" s="1349"/>
      <c r="O298" s="1349"/>
      <c r="P298" s="1349"/>
      <c r="Q298" s="1349"/>
      <c r="R298" s="1349"/>
      <c r="T298" s="3" t="s">
        <v>87</v>
      </c>
      <c r="V298" s="3"/>
      <c r="W298" s="3"/>
      <c r="X298" s="3"/>
      <c r="Y298" s="3"/>
      <c r="AA298" s="1349" t="s">
        <v>2645</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2649</v>
      </c>
      <c r="I299" s="1424"/>
      <c r="J299" s="1424"/>
      <c r="K299" s="1424"/>
      <c r="L299" s="1424"/>
      <c r="M299" s="1424"/>
      <c r="N299" s="4" t="s">
        <v>206</v>
      </c>
      <c r="O299" s="4"/>
      <c r="P299" s="1418"/>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3"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 customHeight="1">
      <c r="B301" s="3" t="s">
        <v>76</v>
      </c>
      <c r="C301" s="3"/>
      <c r="D301" s="3"/>
      <c r="E301" s="3"/>
      <c r="F301" s="3"/>
      <c r="G301" s="3"/>
      <c r="H301" s="1349" t="s">
        <v>2648</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2638</v>
      </c>
      <c r="I303" s="1372"/>
      <c r="J303" s="1372"/>
      <c r="K303" s="1372"/>
      <c r="L303" s="1372"/>
      <c r="M303" s="1372"/>
      <c r="N303" s="1372"/>
      <c r="O303" s="1372"/>
      <c r="P303" s="1372"/>
      <c r="Q303" s="1372"/>
      <c r="R303" s="1372"/>
      <c r="T303" s="4" t="s">
        <v>879</v>
      </c>
      <c r="V303" s="3"/>
      <c r="W303" s="3"/>
      <c r="X303" s="3"/>
      <c r="Y303" s="3"/>
      <c r="AA303" s="1372"/>
      <c r="AB303" s="1372"/>
      <c r="AC303" s="1372"/>
      <c r="AD303" s="1372"/>
      <c r="AE303" s="1372"/>
      <c r="AF303" s="1372"/>
      <c r="AG303" s="1372"/>
      <c r="AH303" s="1372"/>
      <c r="AI303" s="1372"/>
      <c r="AJ303" s="1372"/>
      <c r="AK303" s="1372"/>
    </row>
    <row r="304" spans="2:37" ht="13" customHeight="1">
      <c r="B304" s="3" t="s">
        <v>472</v>
      </c>
      <c r="C304" s="3"/>
      <c r="D304" s="3"/>
      <c r="E304" s="3"/>
      <c r="F304" s="3"/>
      <c r="H304" s="1349" t="s">
        <v>2639</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3" customHeight="1">
      <c r="B305" s="3" t="s">
        <v>473</v>
      </c>
      <c r="C305" s="3"/>
      <c r="D305" s="3"/>
      <c r="E305" s="3"/>
      <c r="F305" s="3"/>
      <c r="H305" s="1349" t="s">
        <v>2640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 customHeight="1">
      <c r="B306" s="3" t="s">
        <v>87</v>
      </c>
      <c r="C306" s="3"/>
      <c r="D306" s="3"/>
      <c r="E306" s="3"/>
      <c r="F306" s="3"/>
      <c r="H306" s="1349" t="s">
        <v>2641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2649</v>
      </c>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3"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2648</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2" t="s">
        <v>2650</v>
      </c>
      <c r="I311" s="1372"/>
      <c r="J311" s="1372"/>
      <c r="K311" s="1372"/>
      <c r="L311" s="1372"/>
      <c r="M311" s="1372"/>
      <c r="N311" s="1372"/>
      <c r="O311" s="1372"/>
      <c r="P311" s="1372"/>
      <c r="Q311" s="1372"/>
      <c r="R311" s="1372"/>
      <c r="S311" s="3"/>
      <c r="T311" s="3" t="s">
        <v>365</v>
      </c>
      <c r="V311" s="3"/>
      <c r="W311" s="3"/>
      <c r="X311" s="3"/>
      <c r="Y311" s="3"/>
      <c r="AA311" s="1372"/>
      <c r="AB311" s="1372"/>
      <c r="AC311" s="1372"/>
      <c r="AD311" s="1372"/>
      <c r="AE311" s="1372"/>
      <c r="AF311" s="1372"/>
      <c r="AG311" s="1372"/>
      <c r="AH311" s="1372"/>
      <c r="AI311" s="1372"/>
      <c r="AJ311" s="1372"/>
      <c r="AK311" s="1372"/>
    </row>
    <row r="312" spans="2:37" ht="13" customHeight="1">
      <c r="B312" s="3" t="s">
        <v>472</v>
      </c>
      <c r="C312" s="3"/>
      <c r="D312" s="3"/>
      <c r="E312" s="3"/>
      <c r="F312" s="3"/>
      <c r="H312" s="1349" t="s">
        <v>2651</v>
      </c>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3" customHeight="1">
      <c r="B313" s="3" t="s">
        <v>473</v>
      </c>
      <c r="C313" s="3"/>
      <c r="D313" s="3"/>
      <c r="E313" s="3"/>
      <c r="F313" s="3"/>
      <c r="H313" s="1349" t="s">
        <v>2652</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 customHeight="1">
      <c r="B314" s="3" t="s">
        <v>87</v>
      </c>
      <c r="C314" s="3"/>
      <c r="D314" s="3"/>
      <c r="E314" s="3"/>
      <c r="F314" s="3"/>
      <c r="H314" s="1349" t="s">
        <v>2653</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2654</v>
      </c>
      <c r="I315" s="1424"/>
      <c r="J315" s="1424"/>
      <c r="K315" s="1424"/>
      <c r="L315" s="1424"/>
      <c r="M315" s="1424"/>
      <c r="N315" s="4" t="s">
        <v>206</v>
      </c>
      <c r="O315" s="4"/>
      <c r="P315" s="1418"/>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3"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 customHeight="1">
      <c r="B317" s="3" t="s">
        <v>76</v>
      </c>
      <c r="C317" s="3"/>
      <c r="D317" s="3"/>
      <c r="E317" s="3"/>
      <c r="F317" s="3"/>
      <c r="G317" s="3"/>
      <c r="H317" s="1349" t="s">
        <v>2655</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 customHeight="1"/>
    <row r="319" spans="2:37" ht="13" customHeight="1">
      <c r="B319" s="4" t="s">
        <v>909</v>
      </c>
      <c r="C319" s="3"/>
      <c r="D319" s="3"/>
      <c r="E319" s="3"/>
      <c r="F319" s="3"/>
      <c r="H319" s="1372" t="s">
        <v>2656</v>
      </c>
      <c r="I319" s="1372"/>
      <c r="J319" s="1372"/>
      <c r="K319" s="1372"/>
      <c r="L319" s="1372"/>
      <c r="M319" s="1372"/>
      <c r="N319" s="1372"/>
      <c r="O319" s="1372"/>
      <c r="P319" s="1372"/>
      <c r="Q319" s="1372"/>
      <c r="R319" s="1372"/>
      <c r="T319" s="3" t="s">
        <v>366</v>
      </c>
      <c r="V319" s="3"/>
      <c r="W319" s="3"/>
      <c r="X319" s="3"/>
      <c r="Y319" s="3"/>
      <c r="AA319" s="1372" t="s">
        <v>2662</v>
      </c>
      <c r="AB319" s="1372"/>
      <c r="AC319" s="1372"/>
      <c r="AD319" s="1372"/>
      <c r="AE319" s="1372"/>
      <c r="AF319" s="1372"/>
      <c r="AG319" s="1372"/>
      <c r="AH319" s="1372"/>
      <c r="AI319" s="1372"/>
      <c r="AJ319" s="1372"/>
      <c r="AK319" s="1372"/>
    </row>
    <row r="320" spans="2:37" ht="13" customHeight="1">
      <c r="B320" s="3" t="s">
        <v>472</v>
      </c>
      <c r="C320" s="3"/>
      <c r="D320" s="3"/>
      <c r="E320" s="3"/>
      <c r="F320" s="3"/>
      <c r="H320" s="1349" t="s">
        <v>2657</v>
      </c>
      <c r="I320" s="1349"/>
      <c r="J320" s="1349"/>
      <c r="K320" s="1349"/>
      <c r="L320" s="1349"/>
      <c r="M320" s="1349"/>
      <c r="N320" s="1349"/>
      <c r="O320" s="1349"/>
      <c r="P320" s="1349"/>
      <c r="Q320" s="1349"/>
      <c r="R320" s="1349"/>
      <c r="T320" s="3" t="s">
        <v>472</v>
      </c>
      <c r="V320" s="3"/>
      <c r="W320" s="3"/>
      <c r="X320" s="3"/>
      <c r="Y320" s="3"/>
      <c r="AA320" s="1349" t="s">
        <v>2663</v>
      </c>
      <c r="AB320" s="1349"/>
      <c r="AC320" s="1349"/>
      <c r="AD320" s="1349"/>
      <c r="AE320" s="1349"/>
      <c r="AF320" s="1349"/>
      <c r="AG320" s="1349"/>
      <c r="AH320" s="1349"/>
      <c r="AI320" s="1349"/>
      <c r="AJ320" s="1349"/>
      <c r="AK320" s="1349"/>
    </row>
    <row r="321" spans="2:37" ht="13" customHeight="1">
      <c r="B321" s="3" t="s">
        <v>473</v>
      </c>
      <c r="C321" s="3"/>
      <c r="D321" s="3"/>
      <c r="E321" s="3"/>
      <c r="F321" s="3"/>
      <c r="H321" s="1349" t="s">
        <v>2658</v>
      </c>
      <c r="I321" s="1349"/>
      <c r="J321" s="1349"/>
      <c r="K321" s="1349"/>
      <c r="L321" s="1349"/>
      <c r="M321" s="1349"/>
      <c r="N321" s="1349"/>
      <c r="O321" s="1349"/>
      <c r="P321" s="1349"/>
      <c r="Q321" s="1349"/>
      <c r="R321" s="1349"/>
      <c r="T321" s="3" t="s">
        <v>75</v>
      </c>
      <c r="V321" s="3"/>
      <c r="W321" s="3"/>
      <c r="X321" s="3"/>
      <c r="Y321" s="3"/>
      <c r="AA321" s="1349" t="s">
        <v>2664</v>
      </c>
      <c r="AB321" s="1349"/>
      <c r="AC321" s="1349"/>
      <c r="AD321" s="1349"/>
      <c r="AE321" s="1349"/>
      <c r="AF321" s="1349"/>
      <c r="AG321" s="1349"/>
      <c r="AH321" s="1349"/>
      <c r="AI321" s="1349"/>
      <c r="AJ321" s="1349"/>
      <c r="AK321" s="1349"/>
    </row>
    <row r="322" spans="2:37" ht="13" customHeight="1">
      <c r="B322" s="3" t="s">
        <v>87</v>
      </c>
      <c r="C322" s="3"/>
      <c r="D322" s="3"/>
      <c r="E322" s="3"/>
      <c r="F322" s="3"/>
      <c r="H322" s="1349" t="s">
        <v>2659</v>
      </c>
      <c r="I322" s="1349"/>
      <c r="J322" s="1349"/>
      <c r="K322" s="1349"/>
      <c r="L322" s="1349"/>
      <c r="M322" s="1349"/>
      <c r="N322" s="1349"/>
      <c r="O322" s="1349"/>
      <c r="P322" s="1349"/>
      <c r="Q322" s="1349"/>
      <c r="R322" s="1349"/>
      <c r="T322" s="3" t="s">
        <v>87</v>
      </c>
      <c r="V322" s="3"/>
      <c r="W322" s="3"/>
      <c r="X322" s="3"/>
      <c r="Y322" s="3"/>
      <c r="AA322" s="1349" t="s">
        <v>2665</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4" t="s">
        <v>2660</v>
      </c>
      <c r="I323" s="1424"/>
      <c r="J323" s="1424"/>
      <c r="K323" s="1424"/>
      <c r="L323" s="1424"/>
      <c r="M323" s="1424"/>
      <c r="N323" s="4" t="s">
        <v>206</v>
      </c>
      <c r="O323" s="4"/>
      <c r="P323" s="1418">
        <v>2</v>
      </c>
      <c r="Q323" s="1418"/>
      <c r="R323" s="1418"/>
      <c r="S323" s="3"/>
      <c r="T323" s="3" t="s">
        <v>88</v>
      </c>
      <c r="V323" s="3"/>
      <c r="W323" s="3"/>
      <c r="X323" s="3"/>
      <c r="Y323" s="3"/>
      <c r="AA323" s="1424" t="s">
        <v>2666</v>
      </c>
      <c r="AB323" s="1424"/>
      <c r="AC323" s="1424"/>
      <c r="AD323" s="1424"/>
      <c r="AE323" s="1424"/>
      <c r="AF323" s="1424"/>
      <c r="AG323" s="4" t="s">
        <v>206</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t="s">
        <v>2661</v>
      </c>
      <c r="I325" s="1349"/>
      <c r="J325" s="1349"/>
      <c r="K325" s="1349"/>
      <c r="L325" s="1349"/>
      <c r="M325" s="1349"/>
      <c r="N325" s="1372"/>
      <c r="O325" s="1372"/>
      <c r="P325" s="1372"/>
      <c r="Q325" s="1372"/>
      <c r="R325" s="1372"/>
      <c r="S325" s="3"/>
      <c r="T325" s="3" t="s">
        <v>76</v>
      </c>
      <c r="V325" s="3"/>
      <c r="W325" s="3"/>
      <c r="X325" s="3"/>
      <c r="Y325" s="3"/>
      <c r="AA325" s="1349" t="s">
        <v>2667</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2668</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3" customHeight="1">
      <c r="B328" s="3" t="s">
        <v>472</v>
      </c>
      <c r="C328" s="3"/>
      <c r="D328" s="3"/>
      <c r="E328" s="3"/>
      <c r="F328" s="3"/>
      <c r="H328" s="1349" t="s">
        <v>2669</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3" customHeight="1">
      <c r="B329" s="3" t="s">
        <v>473</v>
      </c>
      <c r="C329" s="3"/>
      <c r="D329" s="3"/>
      <c r="E329" s="3"/>
      <c r="F329" s="3"/>
      <c r="H329" s="1349" t="s">
        <v>2670</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2671</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t="s">
        <v>2672</v>
      </c>
      <c r="I331" s="1424"/>
      <c r="J331" s="1424"/>
      <c r="K331" s="1424"/>
      <c r="L331" s="1424"/>
      <c r="M331" s="1424"/>
      <c r="N331" s="4" t="s">
        <v>206</v>
      </c>
      <c r="O331" s="4"/>
      <c r="P331" s="1418">
        <v>7201</v>
      </c>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2673</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2680</v>
      </c>
      <c r="I335" s="1372"/>
      <c r="J335" s="1372"/>
      <c r="K335" s="1372"/>
      <c r="L335" s="1372"/>
      <c r="M335" s="1372"/>
      <c r="N335" s="1372"/>
      <c r="O335" s="1372"/>
      <c r="P335" s="1372"/>
      <c r="Q335" s="1372"/>
      <c r="R335" s="1372"/>
      <c r="T335" s="205" t="s">
        <v>887</v>
      </c>
      <c r="V335" s="3"/>
      <c r="W335" s="3"/>
      <c r="X335" s="3"/>
      <c r="Y335" s="3"/>
      <c r="AA335" s="1372" t="s">
        <v>2674</v>
      </c>
      <c r="AB335" s="1372"/>
      <c r="AC335" s="1372"/>
      <c r="AD335" s="1372"/>
      <c r="AE335" s="1372"/>
      <c r="AF335" s="1372"/>
      <c r="AG335" s="1372"/>
      <c r="AH335" s="1372"/>
      <c r="AI335" s="1372"/>
      <c r="AJ335" s="1372"/>
      <c r="AK335" s="1372"/>
    </row>
    <row r="336" spans="2:37" ht="13" customHeight="1">
      <c r="B336" s="3" t="s">
        <v>472</v>
      </c>
      <c r="C336" s="3"/>
      <c r="D336" s="3"/>
      <c r="E336" s="3"/>
      <c r="F336" s="3"/>
      <c r="H336" s="1349" t="s">
        <v>2681</v>
      </c>
      <c r="I336" s="1349"/>
      <c r="J336" s="1349"/>
      <c r="K336" s="1349"/>
      <c r="L336" s="1349"/>
      <c r="M336" s="1349"/>
      <c r="N336" s="1349"/>
      <c r="O336" s="1349"/>
      <c r="P336" s="1349"/>
      <c r="Q336" s="1349"/>
      <c r="R336" s="1349"/>
      <c r="T336" s="3" t="s">
        <v>472</v>
      </c>
      <c r="V336" s="3"/>
      <c r="W336" s="3"/>
      <c r="X336" s="3"/>
      <c r="Y336" s="3"/>
      <c r="AA336" s="1349" t="s">
        <v>2675</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2682</v>
      </c>
      <c r="I337" s="1349"/>
      <c r="J337" s="1349"/>
      <c r="K337" s="1349"/>
      <c r="L337" s="1349"/>
      <c r="M337" s="1349"/>
      <c r="N337" s="1349"/>
      <c r="O337" s="1349"/>
      <c r="P337" s="1349"/>
      <c r="Q337" s="1349"/>
      <c r="R337" s="1349"/>
      <c r="T337" s="3" t="s">
        <v>75</v>
      </c>
      <c r="V337" s="3"/>
      <c r="W337" s="3"/>
      <c r="X337" s="3"/>
      <c r="Y337" s="3"/>
      <c r="AA337" s="1349" t="s">
        <v>2676</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2683</v>
      </c>
      <c r="I338" s="1349"/>
      <c r="J338" s="1349"/>
      <c r="K338" s="1349"/>
      <c r="L338" s="1349"/>
      <c r="M338" s="1349"/>
      <c r="N338" s="1349"/>
      <c r="O338" s="1349"/>
      <c r="P338" s="1349"/>
      <c r="Q338" s="1349"/>
      <c r="R338" s="1349"/>
      <c r="T338" s="3" t="s">
        <v>87</v>
      </c>
      <c r="V338" s="3"/>
      <c r="W338" s="3"/>
      <c r="X338" s="3"/>
      <c r="Y338" s="3"/>
      <c r="AA338" s="1349" t="s">
        <v>2677</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2684</v>
      </c>
      <c r="I339" s="1424"/>
      <c r="J339" s="1424"/>
      <c r="K339" s="1424"/>
      <c r="L339" s="1424"/>
      <c r="M339" s="1424"/>
      <c r="N339" s="4" t="s">
        <v>206</v>
      </c>
      <c r="O339" s="4"/>
      <c r="P339" s="1418"/>
      <c r="Q339" s="1418"/>
      <c r="R339" s="1418"/>
      <c r="S339" s="3"/>
      <c r="T339" s="3" t="s">
        <v>88</v>
      </c>
      <c r="V339" s="3"/>
      <c r="W339" s="3"/>
      <c r="X339" s="3"/>
      <c r="Y339" s="3"/>
      <c r="AA339" s="1424" t="s">
        <v>2678</v>
      </c>
      <c r="AB339" s="1424"/>
      <c r="AC339" s="1424"/>
      <c r="AD339" s="1424"/>
      <c r="AE339" s="1424"/>
      <c r="AF339" s="1424"/>
      <c r="AG339" s="4" t="s">
        <v>206</v>
      </c>
      <c r="AH339" s="4"/>
      <c r="AI339" s="1418"/>
      <c r="AJ339" s="1418"/>
      <c r="AK339" s="1418"/>
    </row>
    <row r="340" spans="1:66" ht="13" customHeight="1">
      <c r="B340" s="3" t="s">
        <v>89</v>
      </c>
      <c r="C340" s="3"/>
      <c r="D340" s="3"/>
      <c r="E340" s="3"/>
      <c r="F340" s="3"/>
      <c r="G340" s="3"/>
      <c r="H340" s="1347" t="s">
        <v>2685</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t="s">
        <v>2679</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3"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206</v>
      </c>
      <c r="AB347" s="4"/>
      <c r="AC347" s="1437"/>
      <c r="AD347" s="1437"/>
      <c r="AE347" s="1437"/>
      <c r="AF347" s="303"/>
      <c r="AG347" s="4"/>
      <c r="AH347" s="4"/>
      <c r="AI347" s="4"/>
      <c r="AJ347" s="4"/>
      <c r="AK347" s="4"/>
    </row>
    <row r="348" spans="1:66" ht="13"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3" t="s">
        <v>546</v>
      </c>
      <c r="N355" s="1333"/>
      <c r="P355" t="s">
        <v>1651</v>
      </c>
      <c r="AJ355" s="1333" t="s">
        <v>670</v>
      </c>
      <c r="AK355" s="1333"/>
    </row>
    <row r="356" spans="1:46" ht="13" customHeight="1">
      <c r="D356" s="3" t="s">
        <v>1640</v>
      </c>
      <c r="M356" s="1333" t="s">
        <v>592</v>
      </c>
      <c r="N356" s="1333"/>
      <c r="P356" s="3" t="s">
        <v>1720</v>
      </c>
      <c r="AJ356" s="1447"/>
      <c r="AK356" s="1447"/>
    </row>
    <row r="357" spans="1:46" ht="13" customHeight="1">
      <c r="D357" s="3" t="s">
        <v>705</v>
      </c>
      <c r="M357" s="1333" t="s">
        <v>592</v>
      </c>
      <c r="N357" s="1333"/>
      <c r="P357" t="s">
        <v>1650</v>
      </c>
      <c r="AJ357" s="1333" t="s">
        <v>670</v>
      </c>
      <c r="AK357" s="1333"/>
    </row>
    <row r="358" spans="1:46" ht="13" customHeight="1">
      <c r="D358" s="3" t="s">
        <v>706</v>
      </c>
      <c r="M358" s="1333" t="s">
        <v>592</v>
      </c>
      <c r="N358" s="1333"/>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3" customHeight="1">
      <c r="E364" t="s">
        <v>370</v>
      </c>
      <c r="Y364" s="1333" t="s">
        <v>592</v>
      </c>
      <c r="Z364" s="1333"/>
    </row>
    <row r="365" spans="1:46" ht="13"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3"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6"/>
      <c r="T377" s="1816"/>
      <c r="U377" s="1" t="s">
        <v>306</v>
      </c>
      <c r="V377" s="1816"/>
      <c r="W377" s="1816"/>
      <c r="Y377" t="s">
        <v>2082</v>
      </c>
      <c r="AC377" s="27" t="s">
        <v>305</v>
      </c>
      <c r="AD377" s="1816"/>
      <c r="AE377" s="1816"/>
      <c r="AF377" s="1" t="s">
        <v>306</v>
      </c>
      <c r="AG377" s="1816"/>
      <c r="AH377" s="1816"/>
    </row>
    <row r="378" spans="1:34" ht="13" customHeight="1">
      <c r="E378" s="4" t="s">
        <v>988</v>
      </c>
      <c r="F378" s="4"/>
      <c r="G378" s="4"/>
      <c r="H378" s="4"/>
      <c r="I378" s="4"/>
      <c r="J378" s="4"/>
      <c r="K378" s="4"/>
      <c r="L378" s="4"/>
      <c r="N378" s="1816"/>
      <c r="O378" s="1816"/>
      <c r="P378" s="1816"/>
    </row>
    <row r="379" spans="1:34" ht="13" customHeight="1">
      <c r="E379" s="205" t="s">
        <v>2088</v>
      </c>
      <c r="F379" s="4"/>
      <c r="G379" s="4"/>
      <c r="H379" s="4"/>
      <c r="I379" s="4"/>
      <c r="J379" s="4"/>
      <c r="K379" s="4"/>
      <c r="L379" s="4"/>
      <c r="AG379" s="1804" t="s">
        <v>592</v>
      </c>
      <c r="AH379" s="1804"/>
    </row>
    <row r="380" spans="1:34" ht="13" customHeight="1">
      <c r="E380" s="4"/>
      <c r="F380" s="4"/>
      <c r="G380" s="4" t="s">
        <v>2089</v>
      </c>
      <c r="H380" s="4"/>
      <c r="I380" s="4"/>
      <c r="J380" s="4"/>
      <c r="K380" s="4"/>
      <c r="L380" s="4"/>
      <c r="AG380" s="1804" t="s">
        <v>592</v>
      </c>
      <c r="AH380" s="1804"/>
    </row>
    <row r="381" spans="1:34" ht="13" customHeight="1">
      <c r="E381" s="4"/>
      <c r="F381" s="4"/>
      <c r="G381" s="321" t="s">
        <v>989</v>
      </c>
      <c r="H381" s="4"/>
      <c r="I381" s="4"/>
      <c r="J381" s="4"/>
      <c r="K381" s="4"/>
      <c r="L381" s="4"/>
      <c r="V381" s="1333" t="s">
        <v>592</v>
      </c>
      <c r="W381" s="1333"/>
      <c r="Y381" s="22" t="s">
        <v>981</v>
      </c>
    </row>
    <row r="382" spans="1:34" ht="13" customHeight="1">
      <c r="E382" s="4" t="s">
        <v>982</v>
      </c>
      <c r="F382" s="4"/>
      <c r="G382" s="4"/>
      <c r="H382" s="4"/>
      <c r="I382" s="4"/>
      <c r="J382" s="4"/>
      <c r="K382" s="4"/>
      <c r="L382" s="4"/>
      <c r="V382" s="1333" t="s">
        <v>592</v>
      </c>
      <c r="W382" s="1333"/>
      <c r="Y382" s="4" t="s">
        <v>983</v>
      </c>
    </row>
    <row r="383" spans="1:34" ht="13" customHeight="1"/>
    <row r="384" spans="1:34" ht="13" customHeight="1">
      <c r="A384" s="2" t="s">
        <v>78</v>
      </c>
      <c r="B384" s="2"/>
    </row>
    <row r="385" spans="4:36" ht="13" customHeight="1">
      <c r="D385" t="s">
        <v>428</v>
      </c>
      <c r="J385" s="1372" t="s">
        <v>2686</v>
      </c>
      <c r="K385" s="1372"/>
      <c r="L385" s="1372"/>
      <c r="M385" s="1372"/>
      <c r="N385" s="1372"/>
      <c r="O385" s="1372"/>
      <c r="P385" s="1372"/>
      <c r="Q385" s="1372"/>
      <c r="R385" s="1372"/>
      <c r="S385" s="1372"/>
      <c r="T385" s="1372"/>
      <c r="U385" s="1372"/>
      <c r="V385" s="8" t="s">
        <v>83</v>
      </c>
      <c r="W385" s="8"/>
      <c r="X385" s="8"/>
      <c r="Y385" s="8"/>
      <c r="Z385" s="8"/>
      <c r="AA385" s="8"/>
      <c r="AB385" s="8"/>
      <c r="AC385" s="1372" t="s">
        <v>2687</v>
      </c>
      <c r="AD385" s="1372"/>
      <c r="AE385" s="1372"/>
      <c r="AF385" s="1372"/>
      <c r="AG385" s="1372"/>
      <c r="AH385" s="1372"/>
      <c r="AI385" s="1372"/>
      <c r="AJ385" s="1372"/>
    </row>
    <row r="386" spans="4:36" ht="13" customHeight="1">
      <c r="D386" s="3" t="s">
        <v>1183</v>
      </c>
      <c r="J386" s="1349" t="s">
        <v>2687</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3" customHeight="1">
      <c r="D387" s="3" t="s">
        <v>442</v>
      </c>
      <c r="J387" s="1349" t="s">
        <v>2688</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3" customHeight="1">
      <c r="D388" t="s">
        <v>1179</v>
      </c>
      <c r="J388" s="1403" t="s">
        <v>2689</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 customHeight="1">
      <c r="D389" t="s">
        <v>4</v>
      </c>
      <c r="Q389" s="1752">
        <v>44400</v>
      </c>
      <c r="R389" s="1752"/>
      <c r="S389" s="1752"/>
      <c r="T389" s="1752"/>
      <c r="U389" s="1752"/>
      <c r="V389" t="s">
        <v>309</v>
      </c>
      <c r="AI389" s="1333" t="s">
        <v>670</v>
      </c>
      <c r="AJ389" s="1333"/>
    </row>
    <row r="390" spans="4:36" ht="13" customHeight="1">
      <c r="D390" t="s">
        <v>5</v>
      </c>
      <c r="Q390" s="1534">
        <v>44857</v>
      </c>
      <c r="R390" s="1820"/>
      <c r="S390" s="1820"/>
      <c r="T390" s="1820"/>
      <c r="U390" s="1820"/>
      <c r="W390" s="21" t="s">
        <v>74</v>
      </c>
      <c r="AG390" s="1818"/>
      <c r="AH390" s="1818"/>
      <c r="AI390" s="1818"/>
      <c r="AJ390" s="1818"/>
    </row>
    <row r="391" spans="4:36" ht="13" customHeight="1">
      <c r="D391" t="s">
        <v>427</v>
      </c>
      <c r="Q391" s="1828">
        <v>6600000</v>
      </c>
      <c r="R391" s="1828"/>
      <c r="S391" s="1828"/>
      <c r="T391" s="1828"/>
      <c r="U391" s="1828"/>
      <c r="V391" s="3" t="s">
        <v>1182</v>
      </c>
      <c r="AG391" s="1819"/>
      <c r="AH391" s="1819"/>
      <c r="AI391" s="1819"/>
      <c r="AJ391" s="1819"/>
    </row>
    <row r="392" spans="4:36" ht="13" customHeight="1">
      <c r="D392" t="s">
        <v>88</v>
      </c>
      <c r="I392" s="1424" t="s">
        <v>2690</v>
      </c>
      <c r="J392" s="1424"/>
      <c r="K392" s="1424"/>
      <c r="L392" s="1424"/>
      <c r="M392" s="1424"/>
      <c r="N392" s="1424"/>
      <c r="Q392" s="4" t="s">
        <v>206</v>
      </c>
      <c r="S392" s="1827"/>
      <c r="T392" s="1827"/>
      <c r="U392" s="1827"/>
      <c r="V392" t="s">
        <v>73</v>
      </c>
      <c r="AI392" s="1333" t="s">
        <v>670</v>
      </c>
      <c r="AJ392" s="1333"/>
    </row>
    <row r="393" spans="4:36" ht="13" customHeight="1">
      <c r="D393" t="s">
        <v>310</v>
      </c>
      <c r="Q393" s="1409">
        <v>1130</v>
      </c>
      <c r="R393" s="1409"/>
      <c r="S393" s="1409"/>
      <c r="T393" s="1409"/>
      <c r="U393" s="1409"/>
      <c r="V393" t="s">
        <v>311</v>
      </c>
      <c r="AG393" s="1818">
        <v>40700</v>
      </c>
      <c r="AH393" s="1818"/>
      <c r="AI393" s="1818"/>
      <c r="AJ393" s="1818"/>
    </row>
    <row r="394" spans="4:36" ht="13" customHeight="1">
      <c r="D394" t="s">
        <v>312</v>
      </c>
      <c r="Q394" s="1756"/>
      <c r="R394" s="1756"/>
      <c r="S394" s="1756"/>
      <c r="T394" s="1756"/>
      <c r="U394" s="1756"/>
      <c r="V394" t="s">
        <v>1164</v>
      </c>
      <c r="AG394" s="1818"/>
      <c r="AH394" s="1818"/>
      <c r="AI394" s="1818"/>
      <c r="AJ394" s="1818"/>
    </row>
    <row r="395" spans="4:36" ht="13" customHeight="1">
      <c r="D395" t="s">
        <v>1163</v>
      </c>
      <c r="AG395" s="1818"/>
      <c r="AH395" s="1818"/>
      <c r="AI395" s="1818"/>
      <c r="AJ395" s="1818"/>
    </row>
    <row r="396" spans="4:36" ht="13" customHeight="1">
      <c r="AG396" s="457"/>
      <c r="AH396" s="457"/>
      <c r="AI396" s="457"/>
      <c r="AJ396" s="457"/>
    </row>
    <row r="397" spans="4:36" ht="13" customHeight="1">
      <c r="D397" s="3" t="s">
        <v>2145</v>
      </c>
      <c r="AG397" s="457"/>
      <c r="AH397" s="457"/>
      <c r="AI397" s="1333" t="s">
        <v>670</v>
      </c>
      <c r="AJ397" s="1333"/>
    </row>
    <row r="398" spans="4:36" ht="13"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7"/>
      <c r="AH400" s="457"/>
      <c r="AI400" s="457"/>
      <c r="AJ400" s="457"/>
    </row>
    <row r="401" spans="1:36" ht="13" customHeight="1">
      <c r="D401" s="3" t="s">
        <v>1661</v>
      </c>
      <c r="S401" s="1751" t="s">
        <v>670</v>
      </c>
      <c r="T401" s="1751"/>
      <c r="U401" s="1751"/>
      <c r="V401" t="s">
        <v>1662</v>
      </c>
      <c r="AG401" s="1812"/>
      <c r="AH401" s="1812"/>
      <c r="AI401" s="1812"/>
      <c r="AJ401" s="1812"/>
    </row>
    <row r="402" spans="1:36" ht="13" customHeight="1">
      <c r="D402" s="3" t="s">
        <v>1659</v>
      </c>
      <c r="S402" s="1751" t="s">
        <v>592</v>
      </c>
      <c r="T402" s="1751"/>
      <c r="U402" s="1751"/>
      <c r="V402" t="s">
        <v>1664</v>
      </c>
      <c r="AE402" s="1817"/>
      <c r="AF402" s="1817"/>
      <c r="AG402" s="1817"/>
      <c r="AH402" s="1817"/>
      <c r="AI402" s="1817"/>
      <c r="AJ402" s="1817"/>
    </row>
    <row r="403" spans="1:36" ht="13" customHeight="1">
      <c r="D403" s="3" t="s">
        <v>1660</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 customHeight="1">
      <c r="D404" s="3" t="s">
        <v>1663</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 customHeight="1">
      <c r="D405" s="3" t="s">
        <v>1666</v>
      </c>
      <c r="E405" s="478"/>
      <c r="F405" s="478"/>
      <c r="G405" s="478"/>
      <c r="H405" s="478"/>
      <c r="I405" s="478"/>
      <c r="J405" s="478"/>
      <c r="K405" s="478"/>
      <c r="L405" s="478"/>
      <c r="M405" s="478"/>
      <c r="N405" s="478"/>
      <c r="O405" s="478"/>
      <c r="P405" s="478"/>
      <c r="Q405" s="478"/>
      <c r="R405" s="478"/>
      <c r="S405" s="1826" t="s">
        <v>1185</v>
      </c>
      <c r="T405" s="1826"/>
      <c r="U405" s="1826"/>
      <c r="V405" s="1826"/>
      <c r="W405" s="1826"/>
      <c r="X405" s="1826"/>
      <c r="Y405" s="1826"/>
      <c r="Z405" s="1826"/>
      <c r="AA405" s="1826"/>
      <c r="AB405" s="1826"/>
      <c r="AC405" s="1826"/>
      <c r="AD405" s="1826"/>
      <c r="AE405" s="1826"/>
      <c r="AF405" s="1826"/>
      <c r="AG405" s="1826"/>
      <c r="AH405" s="1826"/>
      <c r="AI405" s="1826"/>
      <c r="AJ405" s="1826"/>
    </row>
    <row r="406" spans="1:36" ht="13"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7" t="s">
        <v>2691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3" t="s">
        <v>546</v>
      </c>
      <c r="S411" s="1333"/>
      <c r="AC411" s="27" t="s">
        <v>571</v>
      </c>
      <c r="AD411" s="1663">
        <v>5</v>
      </c>
      <c r="AE411" s="1663"/>
    </row>
    <row r="412" spans="1:36" ht="13" customHeight="1">
      <c r="E412" t="s">
        <v>107</v>
      </c>
      <c r="R412" s="1333" t="s">
        <v>592</v>
      </c>
      <c r="S412" s="1333"/>
      <c r="AC412" s="27" t="s">
        <v>571</v>
      </c>
      <c r="AD412" s="1663"/>
      <c r="AE412" s="1663"/>
    </row>
    <row r="413" spans="1:36" ht="13" customHeight="1">
      <c r="E413" t="s">
        <v>108</v>
      </c>
      <c r="S413" s="1333" t="s">
        <v>592</v>
      </c>
      <c r="T413" s="1333"/>
    </row>
    <row r="414" spans="1:36" ht="13"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591</v>
      </c>
      <c r="B417" s="2"/>
      <c r="C417" s="2"/>
      <c r="D417" s="2" t="s">
        <v>114</v>
      </c>
      <c r="AF417" s="2" t="s">
        <v>958</v>
      </c>
    </row>
    <row r="418" spans="1:39" ht="13" customHeight="1">
      <c r="E418" s="1816"/>
      <c r="F418" s="1816"/>
      <c r="G418" s="1816"/>
      <c r="H418" s="13" t="s">
        <v>115</v>
      </c>
      <c r="I418" s="1816"/>
      <c r="J418" s="1816"/>
      <c r="K418" s="1816"/>
      <c r="L418" t="s">
        <v>116</v>
      </c>
      <c r="N418" s="27" t="s">
        <v>576</v>
      </c>
      <c r="P418" s="1760">
        <v>1.04</v>
      </c>
      <c r="Q418" s="1760"/>
      <c r="R418" s="1760"/>
      <c r="S418" t="s">
        <v>117</v>
      </c>
      <c r="W418" s="1825">
        <f>IF(E418&gt;0,(E418*I418),(P418*43560))</f>
        <v>45302.400000000001</v>
      </c>
      <c r="X418" s="1825"/>
      <c r="Y418" s="1825"/>
      <c r="Z418" t="s">
        <v>118</v>
      </c>
      <c r="AF418" s="1761">
        <f>IFERROR(IF(P418&gt;0,(AG437/P418),(AG437/(W418/43560))),0)</f>
        <v>123.07692307692307</v>
      </c>
      <c r="AG418" s="1761"/>
      <c r="AH418" s="1761"/>
      <c r="AM418" s="3"/>
    </row>
    <row r="419" spans="1:39" ht="13" customHeight="1">
      <c r="E419" t="s">
        <v>51</v>
      </c>
    </row>
    <row r="420" spans="1:39" ht="13"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 customHeight="1">
      <c r="E421" s="118" t="s">
        <v>1737</v>
      </c>
      <c r="F421" s="1014"/>
      <c r="G421" s="1014"/>
      <c r="H421" s="1014"/>
      <c r="I421" s="1759">
        <v>1.04</v>
      </c>
      <c r="J421" s="1759"/>
      <c r="K421" s="1759"/>
      <c r="L421" s="1014"/>
      <c r="M421" s="118"/>
      <c r="N421" s="1014"/>
      <c r="O421" s="1014"/>
      <c r="P421" s="1441">
        <f>(DU755+DU778+DU800)/I421</f>
        <v>188.46153846153845</v>
      </c>
      <c r="Q421" s="1441"/>
      <c r="R421" s="1441"/>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3">
        <v>1</v>
      </c>
      <c r="Q424" s="1333"/>
      <c r="S424" t="s">
        <v>189</v>
      </c>
      <c r="AE424" s="1333">
        <v>1</v>
      </c>
      <c r="AF424" s="1333"/>
    </row>
    <row r="425" spans="1:39" ht="13" customHeight="1">
      <c r="E425" t="s">
        <v>190</v>
      </c>
      <c r="P425" s="1333">
        <v>0</v>
      </c>
      <c r="Q425" s="1333"/>
      <c r="S425" t="s">
        <v>131</v>
      </c>
      <c r="AE425" s="1333" t="s">
        <v>546</v>
      </c>
      <c r="AF425" s="1333"/>
    </row>
    <row r="426" spans="1:39" ht="13" customHeight="1">
      <c r="F426" s="28" t="s">
        <v>132</v>
      </c>
    </row>
    <row r="427" spans="1:39" ht="13"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3"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3" customHeight="1">
      <c r="E429" t="s">
        <v>609</v>
      </c>
      <c r="P429" s="1"/>
      <c r="Q429" s="1333" t="s">
        <v>546</v>
      </c>
      <c r="R429" s="1333"/>
    </row>
    <row r="430" spans="1:39" ht="13" customHeight="1">
      <c r="F430" t="s">
        <v>610</v>
      </c>
      <c r="P430" s="1"/>
      <c r="Q430" s="1"/>
      <c r="AF430" s="1333" t="s">
        <v>592</v>
      </c>
      <c r="AG430" s="1823"/>
    </row>
    <row r="431" spans="1:39" ht="13" customHeight="1"/>
    <row r="432" spans="1:39" ht="13" customHeight="1">
      <c r="A432" s="2"/>
      <c r="B432" s="2"/>
      <c r="C432" s="2"/>
      <c r="E432" s="4" t="s">
        <v>308</v>
      </c>
      <c r="Z432" s="1333" t="s">
        <v>670</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3" customHeight="1"/>
    <row r="436" spans="1:55" ht="13" customHeight="1">
      <c r="A436" s="2" t="s">
        <v>468</v>
      </c>
      <c r="B436" s="2"/>
      <c r="C436" s="2"/>
      <c r="D436" s="2" t="s">
        <v>765</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1">
        <v>128</v>
      </c>
      <c r="AH437" s="1821"/>
      <c r="AI437" s="1821"/>
      <c r="AJ437" s="1821"/>
    </row>
    <row r="438" spans="1:55" ht="13"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v>0</v>
      </c>
      <c r="AH438" s="1613"/>
      <c r="AI438" s="1613"/>
      <c r="AJ438" s="1613"/>
    </row>
    <row r="439" spans="1:55" ht="13"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127</v>
      </c>
      <c r="AH439" s="1821"/>
      <c r="AI439" s="1821"/>
      <c r="AJ439" s="1821"/>
    </row>
    <row r="440" spans="1:55" ht="13"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127</v>
      </c>
      <c r="AH440" s="1821"/>
      <c r="AI440" s="1821"/>
      <c r="AJ440" s="1821"/>
    </row>
    <row r="441" spans="1:55" ht="13"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3"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71533</v>
      </c>
      <c r="AH442" s="1695"/>
      <c r="AI442" s="1695"/>
      <c r="AJ442" s="1695"/>
    </row>
    <row r="443" spans="1:55" ht="13"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f>AG442</f>
        <v>71533</v>
      </c>
      <c r="AH443" s="1695"/>
      <c r="AI443" s="1695"/>
      <c r="AJ443" s="1695"/>
    </row>
    <row r="444" spans="1:55" ht="13"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3"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3" customHeight="1">
      <c r="D446" s="1743" t="s">
        <v>2090</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2995</v>
      </c>
      <c r="AH446" s="1695"/>
      <c r="AI446" s="1695"/>
      <c r="AJ446" s="1695"/>
      <c r="AZ446" s="34"/>
      <c r="BA446" s="34"/>
      <c r="BB446" s="34"/>
      <c r="BC446" s="34"/>
    </row>
    <row r="447" spans="1:55" ht="13"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1398</v>
      </c>
      <c r="AH447" s="1695"/>
      <c r="AI447" s="1695"/>
      <c r="AJ447" s="1695"/>
      <c r="AZ447" s="3"/>
      <c r="BA447" s="3"/>
      <c r="BB447" s="3"/>
      <c r="BC447" s="3"/>
    </row>
    <row r="448" spans="1:55" ht="13" customHeight="1">
      <c r="D448" s="1743"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20253</v>
      </c>
      <c r="AH448" s="1695"/>
      <c r="AI448" s="1695"/>
      <c r="AJ448" s="1695"/>
      <c r="AZ448" s="3"/>
      <c r="BA448" s="3"/>
      <c r="BB448" s="3"/>
      <c r="BC448" s="3"/>
    </row>
    <row r="449" spans="1:55" ht="13" customHeight="1">
      <c r="D449" s="1743"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16570</v>
      </c>
      <c r="AH449" s="1695"/>
      <c r="AI449" s="1695"/>
      <c r="AJ449" s="1695"/>
      <c r="BB449" s="3"/>
      <c r="BC449" s="3"/>
    </row>
    <row r="450" spans="1:55" ht="13"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111351</v>
      </c>
      <c r="AH450" s="1844"/>
      <c r="AI450" s="1844"/>
      <c r="AJ450" s="1844"/>
      <c r="AZ450" s="3"/>
      <c r="BA450" s="3"/>
      <c r="BB450" s="3"/>
      <c r="BC450" s="3"/>
    </row>
    <row r="451" spans="1:55" ht="13"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 ca="1">IF(AG437=0,"",'Sources and Uses Budget'!B105/Application!AG437)</f>
        <v>784401.046875</v>
      </c>
      <c r="AD454" s="1813"/>
      <c r="AE454" s="1813"/>
      <c r="AF454" s="1813"/>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 ca="1">IF(AG437=0,"",'Sources and Uses Budget'!C105/Application!AG437)</f>
        <v>773867.1640625</v>
      </c>
      <c r="AD455" s="1813"/>
      <c r="AE455" s="1813"/>
      <c r="AF455" s="1813"/>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 ca="1">IF(AG437=0,"",('Sources and Uses Budget'!$S$107+'Sources and Uses Budget'!$T$107)/Application!AG437)</f>
        <v>684577.8828125</v>
      </c>
      <c r="AD456" s="1813"/>
      <c r="AE456" s="1813"/>
      <c r="AF456" s="1813"/>
      <c r="AG456" s="177"/>
      <c r="AH456" s="177"/>
      <c r="AI456" s="177"/>
      <c r="AJ456" s="183"/>
      <c r="AZ456" s="3"/>
      <c r="BA456" s="3"/>
      <c r="BB456" s="3"/>
      <c r="BC456" s="3"/>
    </row>
    <row r="457" spans="1:55" ht="13" customHeight="1">
      <c r="D457" s="177"/>
      <c r="E457" s="177"/>
      <c r="F457" s="1732"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3" t="s">
        <v>2102</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3" t="s">
        <v>2193</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5">
        <v>0</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394</v>
      </c>
      <c r="C486" s="5"/>
      <c r="D486" s="5"/>
      <c r="E486" s="5"/>
      <c r="F486" s="5"/>
      <c r="G486" s="5"/>
      <c r="H486" s="5"/>
      <c r="I486" s="5"/>
      <c r="J486" s="5"/>
      <c r="K486" s="5"/>
      <c r="L486" s="5"/>
      <c r="M486" s="5"/>
      <c r="N486" s="5"/>
      <c r="O486" s="5"/>
      <c r="P486" s="5"/>
      <c r="Q486" s="1577" t="s">
        <v>2692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3" customHeight="1">
      <c r="B487" s="45" t="s">
        <v>395</v>
      </c>
      <c r="C487" s="5"/>
      <c r="D487" s="5"/>
      <c r="E487" s="5"/>
      <c r="F487" s="5"/>
      <c r="G487" s="5"/>
      <c r="H487" s="5"/>
      <c r="I487" s="5"/>
      <c r="J487" s="5"/>
      <c r="K487" s="5"/>
      <c r="L487" s="5"/>
      <c r="M487" s="5"/>
      <c r="N487" s="5"/>
      <c r="O487" s="5"/>
      <c r="P487" s="5"/>
      <c r="Q487" s="1577" t="s">
        <v>2693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3" customHeight="1">
      <c r="B488" s="45" t="s">
        <v>396</v>
      </c>
      <c r="C488" s="5"/>
      <c r="D488" s="5"/>
      <c r="E488" s="5"/>
      <c r="F488" s="5"/>
      <c r="G488" s="5"/>
      <c r="H488" s="5"/>
      <c r="I488" s="5"/>
      <c r="J488" s="5"/>
      <c r="K488" s="5"/>
      <c r="L488" s="5"/>
      <c r="M488" s="5"/>
      <c r="N488" s="5"/>
      <c r="O488" s="5"/>
      <c r="P488" s="5"/>
      <c r="Q488" s="1577" t="s">
        <v>2694</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3"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3"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3" customHeight="1">
      <c r="B492" s="45" t="s">
        <v>398</v>
      </c>
      <c r="C492" s="5"/>
      <c r="D492" s="5"/>
      <c r="E492" s="5"/>
      <c r="F492" s="5"/>
      <c r="G492" s="5"/>
      <c r="H492" s="5"/>
      <c r="I492" s="5"/>
      <c r="J492" s="5"/>
      <c r="K492" s="5"/>
      <c r="L492" s="5"/>
      <c r="M492" s="5"/>
      <c r="N492" s="5"/>
      <c r="O492" s="5"/>
      <c r="P492" s="5"/>
      <c r="Q492" s="1577" t="s">
        <v>2695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3" customHeight="1">
      <c r="B493" s="45" t="s">
        <v>399</v>
      </c>
      <c r="C493" s="5"/>
      <c r="D493" s="5"/>
      <c r="E493" s="5"/>
      <c r="F493" s="5"/>
      <c r="G493" s="5"/>
      <c r="H493" s="5"/>
      <c r="I493" s="5"/>
      <c r="J493" s="5"/>
      <c r="K493" s="5"/>
      <c r="L493" s="5"/>
      <c r="M493" s="5"/>
      <c r="N493" s="5"/>
      <c r="O493" s="5"/>
      <c r="P493" s="5"/>
      <c r="Q493" s="1577" t="s">
        <v>2696</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7">
        <v>102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3" customHeight="1">
      <c r="B495" s="121" t="s">
        <v>1670</v>
      </c>
      <c r="C495" s="5"/>
      <c r="D495" s="5"/>
      <c r="E495" s="5"/>
      <c r="F495" s="5"/>
      <c r="G495" s="5"/>
      <c r="H495" s="5"/>
      <c r="I495" s="5"/>
      <c r="J495" s="5"/>
      <c r="K495" s="5"/>
      <c r="L495" s="5"/>
      <c r="M495" s="1446">
        <v>102</v>
      </c>
      <c r="N495" s="1447"/>
      <c r="O495" s="1447"/>
      <c r="P495" s="1448"/>
      <c r="Q495" s="121" t="s">
        <v>1671</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3" t="s">
        <v>592</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403</v>
      </c>
      <c r="AH502" s="1403">
        <v>2022</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3"/>
      <c r="C505" s="1433"/>
      <c r="D505" s="1433"/>
      <c r="E505" s="1433"/>
      <c r="F505" s="1433"/>
      <c r="G505" s="1433"/>
      <c r="H505" s="1434"/>
      <c r="I505" t="s">
        <v>411</v>
      </c>
      <c r="AC505" s="1662">
        <v>1</v>
      </c>
      <c r="AD505" s="1663"/>
      <c r="AE505" s="1663"/>
      <c r="AF505" s="1663"/>
      <c r="AG505" s="13" t="s">
        <v>403</v>
      </c>
      <c r="AH505" s="1403">
        <v>2024</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3"/>
      <c r="C506" s="1433"/>
      <c r="D506" s="1433"/>
      <c r="E506" s="1433"/>
      <c r="F506" s="1433"/>
      <c r="G506" s="1433"/>
      <c r="H506" s="1434"/>
      <c r="I506" t="s">
        <v>412</v>
      </c>
      <c r="AC506" s="1662" t="s">
        <v>592</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3" customHeight="1">
      <c r="B507" s="1673"/>
      <c r="C507" s="1433"/>
      <c r="D507" s="1433"/>
      <c r="E507" s="1433"/>
      <c r="F507" s="1433"/>
      <c r="G507" s="1433"/>
      <c r="H507" s="1434"/>
      <c r="I507" s="3" t="s">
        <v>413</v>
      </c>
      <c r="AC507" s="1338">
        <v>11</v>
      </c>
      <c r="AD507" s="1339"/>
      <c r="AE507" s="1339"/>
      <c r="AF507" s="1339"/>
      <c r="AG507" s="13" t="s">
        <v>403</v>
      </c>
      <c r="AH507" s="1403">
        <v>2024</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3"/>
      <c r="C508" s="1433"/>
      <c r="D508" s="1433"/>
      <c r="E508" s="1433"/>
      <c r="F508" s="1433"/>
      <c r="G508" s="1433"/>
      <c r="H508" s="1434"/>
      <c r="I508" s="897" t="s">
        <v>170</v>
      </c>
      <c r="J508" s="48"/>
      <c r="K508" s="48"/>
      <c r="L508" s="1750" t="s">
        <v>2697</v>
      </c>
      <c r="M508" s="1751"/>
      <c r="N508" s="1751"/>
      <c r="O508" s="1751"/>
      <c r="P508" s="1751"/>
      <c r="Q508" s="1751"/>
      <c r="R508" s="1751"/>
      <c r="S508" s="1751"/>
      <c r="T508" s="1751"/>
      <c r="U508" s="1751"/>
      <c r="V508" s="1751"/>
      <c r="W508" s="1751"/>
      <c r="X508" s="1751"/>
      <c r="Y508" s="1751"/>
      <c r="Z508" s="1751"/>
      <c r="AA508" s="1751"/>
      <c r="AB508" s="1843"/>
      <c r="AC508" s="1662">
        <v>11</v>
      </c>
      <c r="AD508" s="1663"/>
      <c r="AE508" s="1663"/>
      <c r="AF508" s="1663"/>
      <c r="AG508" s="38" t="s">
        <v>403</v>
      </c>
      <c r="AH508" s="1403">
        <v>2024</v>
      </c>
      <c r="AI508" s="1403"/>
      <c r="AJ508" s="1403"/>
      <c r="AK508" s="1404"/>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21" t="s">
        <v>546</v>
      </c>
      <c r="AD509" s="1821"/>
      <c r="AE509" s="1821"/>
      <c r="AF509" s="1821"/>
      <c r="AG509" s="13"/>
      <c r="AH509" s="1336"/>
      <c r="AI509" s="1336"/>
      <c r="AJ509" s="1336"/>
      <c r="AK509" s="1671"/>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8">
        <v>2</v>
      </c>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402</v>
      </c>
      <c r="AD513" s="1637"/>
      <c r="AE513" s="1637"/>
      <c r="AF513" s="1637"/>
      <c r="AG513" s="38" t="s">
        <v>403</v>
      </c>
      <c r="AH513" s="1637" t="s">
        <v>404</v>
      </c>
      <c r="AI513" s="1637"/>
      <c r="AJ513" s="1637"/>
      <c r="AK513" s="1842"/>
      <c r="AZ513" s="3"/>
      <c r="BA513" s="3"/>
      <c r="BB513" s="3"/>
      <c r="BC513" s="3"/>
      <c r="BD513" s="3"/>
      <c r="BE513" s="3"/>
      <c r="BF513" s="3"/>
      <c r="BG513" s="3"/>
      <c r="BH513" s="3"/>
      <c r="BI513" s="3"/>
      <c r="BJ513" s="3"/>
      <c r="BK513" s="3"/>
      <c r="BL513" s="3"/>
      <c r="BM513" s="3"/>
      <c r="BN513" s="3" t="s">
        <v>2107</v>
      </c>
    </row>
    <row r="514" spans="2:66" ht="13"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1</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2108</v>
      </c>
    </row>
    <row r="515" spans="2:66" ht="13" customHeight="1">
      <c r="B515" s="1673"/>
      <c r="C515" s="1433"/>
      <c r="D515" s="1433"/>
      <c r="E515" s="1433"/>
      <c r="F515" s="1433"/>
      <c r="G515" s="1433"/>
      <c r="H515" s="1434"/>
      <c r="I515" t="s">
        <v>416</v>
      </c>
      <c r="AC515" s="1662">
        <v>1</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2109</v>
      </c>
    </row>
    <row r="516" spans="2:66" ht="13"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2110</v>
      </c>
    </row>
    <row r="517" spans="2:66" ht="13"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8">
        <v>1</v>
      </c>
      <c r="AD517" s="1339"/>
      <c r="AE517" s="1339"/>
      <c r="AF517" s="1339"/>
      <c r="AG517" s="129" t="s">
        <v>403</v>
      </c>
      <c r="AH517" s="1403">
        <v>2025</v>
      </c>
      <c r="AI517" s="1403"/>
      <c r="AJ517" s="1403"/>
      <c r="AK517" s="1404"/>
      <c r="AZ517" s="3"/>
      <c r="BB517" s="3"/>
      <c r="BC517" s="3"/>
      <c r="BD517" s="3"/>
      <c r="BE517" s="3"/>
      <c r="BF517" s="3"/>
      <c r="BG517" s="3"/>
      <c r="BH517" s="3"/>
      <c r="BI517" s="3"/>
      <c r="BJ517" s="3"/>
      <c r="BK517" s="3"/>
      <c r="BL517" s="3"/>
      <c r="BM517" s="3"/>
      <c r="BN517" s="3" t="s">
        <v>2111</v>
      </c>
    </row>
    <row r="518" spans="2:66" ht="13" customHeight="1">
      <c r="B518" s="1673"/>
      <c r="C518" s="1433"/>
      <c r="D518" s="1433"/>
      <c r="E518" s="1433"/>
      <c r="F518" s="1433"/>
      <c r="G518" s="1433"/>
      <c r="H518" s="1434"/>
      <c r="I518" t="s">
        <v>416</v>
      </c>
      <c r="AC518" s="1662">
        <v>1</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2112</v>
      </c>
    </row>
    <row r="519" spans="2:66" ht="13"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403</v>
      </c>
      <c r="AH519" s="1403">
        <v>2028</v>
      </c>
      <c r="AI519" s="1403"/>
      <c r="AJ519" s="1403"/>
      <c r="AK519" s="1404"/>
      <c r="BB519" s="3"/>
      <c r="BC519" s="3"/>
      <c r="BD519" s="3"/>
      <c r="BE519" s="3"/>
      <c r="BF519" s="3"/>
      <c r="BG519" s="3"/>
      <c r="BH519" s="3"/>
      <c r="BI519" s="3"/>
      <c r="BJ519" s="3"/>
      <c r="BK519" s="3"/>
      <c r="BL519" s="3"/>
      <c r="BM519" s="3"/>
      <c r="BN519" s="3" t="s">
        <v>2113</v>
      </c>
    </row>
    <row r="520" spans="2:66" ht="13" customHeight="1">
      <c r="B520" s="1672" t="s">
        <v>419</v>
      </c>
      <c r="C520" s="1431"/>
      <c r="D520" s="1431"/>
      <c r="E520" s="1431"/>
      <c r="F520" s="1431"/>
      <c r="G520" s="1431"/>
      <c r="H520" s="1432"/>
      <c r="I520" s="41" t="s">
        <v>420</v>
      </c>
      <c r="J520" s="42"/>
      <c r="K520" s="42"/>
      <c r="L520" s="42"/>
      <c r="M520" s="42"/>
      <c r="N520" s="42"/>
      <c r="O520" s="1750" t="s">
        <v>2698</v>
      </c>
      <c r="P520" s="1751"/>
      <c r="Q520" s="1751"/>
      <c r="R520" s="1751"/>
      <c r="S520" s="1751"/>
      <c r="T520" s="1751"/>
      <c r="U520" s="1751"/>
      <c r="V520" s="1751"/>
      <c r="W520" s="1751"/>
      <c r="X520" s="1751"/>
      <c r="Y520" s="1751"/>
      <c r="Z520" s="1751"/>
      <c r="AA520" s="1751"/>
      <c r="AB520" s="58"/>
      <c r="AC520" s="1338" t="s">
        <v>592</v>
      </c>
      <c r="AD520" s="1339"/>
      <c r="AE520" s="1339"/>
      <c r="AF520" s="1339"/>
      <c r="AG520" s="129" t="s">
        <v>403</v>
      </c>
      <c r="AH520" s="1403"/>
      <c r="AI520" s="1403"/>
      <c r="AJ520" s="1403"/>
      <c r="AK520" s="1404"/>
      <c r="AZ520" s="3"/>
      <c r="BB520" s="3"/>
      <c r="BC520" s="3"/>
      <c r="BD520" s="3"/>
      <c r="BE520" s="3"/>
      <c r="BF520" s="3"/>
      <c r="BG520" s="3"/>
      <c r="BH520" s="3"/>
      <c r="BI520" s="3"/>
      <c r="BJ520" s="3"/>
      <c r="BK520" s="3"/>
      <c r="BL520" s="3"/>
      <c r="BM520" s="3"/>
      <c r="BN520" s="3" t="s">
        <v>2114</v>
      </c>
    </row>
    <row r="521" spans="2:66" ht="13" customHeight="1">
      <c r="B521" s="1673"/>
      <c r="C521" s="1433"/>
      <c r="D521" s="1433"/>
      <c r="E521" s="1433"/>
      <c r="F521" s="1433"/>
      <c r="G521" s="1433"/>
      <c r="H521" s="1434"/>
      <c r="I521" s="114" t="s">
        <v>421</v>
      </c>
      <c r="AB521" s="65"/>
      <c r="AC521" s="1662">
        <v>4</v>
      </c>
      <c r="AD521" s="1663"/>
      <c r="AE521" s="1663"/>
      <c r="AF521" s="1663"/>
      <c r="AG521" s="13" t="s">
        <v>403</v>
      </c>
      <c r="AH521" s="1403">
        <v>2023</v>
      </c>
      <c r="AI521" s="1403"/>
      <c r="AJ521" s="1403"/>
      <c r="AK521" s="1404"/>
      <c r="AZ521" s="3"/>
      <c r="BB521" s="3"/>
      <c r="BC521" s="3"/>
      <c r="BD521" s="3"/>
      <c r="BE521" s="3"/>
      <c r="BF521" s="3"/>
      <c r="BG521" s="3"/>
      <c r="BH521" s="3"/>
      <c r="BI521" s="3"/>
      <c r="BJ521" s="3"/>
      <c r="BK521" s="3"/>
      <c r="BL521" s="3"/>
      <c r="BM521" s="3"/>
      <c r="BN521" s="3" t="s">
        <v>2115</v>
      </c>
    </row>
    <row r="522" spans="2:66" ht="13"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9</v>
      </c>
      <c r="AD522" s="1663"/>
      <c r="AE522" s="1663"/>
      <c r="AF522" s="1663"/>
      <c r="AG522" s="38" t="s">
        <v>403</v>
      </c>
      <c r="AH522" s="1403">
        <v>2023</v>
      </c>
      <c r="AI522" s="1403"/>
      <c r="AJ522" s="1403"/>
      <c r="AK522" s="1404"/>
      <c r="AZ522" s="3"/>
      <c r="BA522" s="3"/>
      <c r="BB522" s="3"/>
      <c r="BC522" s="3"/>
      <c r="BD522" s="3"/>
      <c r="BE522" s="3"/>
      <c r="BF522" s="3"/>
      <c r="BG522" s="3"/>
      <c r="BH522" s="3"/>
      <c r="BI522" s="3"/>
      <c r="BJ522" s="3"/>
      <c r="BK522" s="3"/>
      <c r="BL522" s="3"/>
      <c r="BM522" s="3"/>
      <c r="BN522" s="3" t="s">
        <v>2116</v>
      </c>
    </row>
    <row r="523" spans="2:66" ht="13" customHeight="1">
      <c r="B523" s="1673"/>
      <c r="C523" s="1433"/>
      <c r="D523" s="1433"/>
      <c r="E523" s="1433"/>
      <c r="F523" s="1433"/>
      <c r="G523" s="1433"/>
      <c r="H523" s="1434"/>
      <c r="I523" s="42" t="s">
        <v>423</v>
      </c>
      <c r="J523" s="42"/>
      <c r="K523" s="42"/>
      <c r="L523" s="42"/>
      <c r="M523" s="42"/>
      <c r="N523" s="42"/>
      <c r="O523" s="1750" t="s">
        <v>2699</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2117</v>
      </c>
    </row>
    <row r="524" spans="2:66" ht="13" customHeight="1">
      <c r="B524" s="1673"/>
      <c r="C524" s="1433"/>
      <c r="D524" s="1433"/>
      <c r="E524" s="1433"/>
      <c r="F524" s="1433"/>
      <c r="G524" s="1433"/>
      <c r="H524" s="1434"/>
      <c r="I524" t="s">
        <v>421</v>
      </c>
      <c r="AC524" s="1662">
        <v>8</v>
      </c>
      <c r="AD524" s="1663"/>
      <c r="AE524" s="1663"/>
      <c r="AF524" s="1663"/>
      <c r="AG524" s="13" t="s">
        <v>403</v>
      </c>
      <c r="AH524" s="1403">
        <v>2021</v>
      </c>
      <c r="AI524" s="1403"/>
      <c r="AJ524" s="1403"/>
      <c r="AK524" s="1404"/>
      <c r="AZ524" s="3"/>
      <c r="BA524" s="3"/>
      <c r="BB524" s="3"/>
      <c r="BC524" s="3"/>
      <c r="BD524" s="3"/>
      <c r="BE524" s="3"/>
      <c r="BF524" s="3"/>
      <c r="BG524" s="3"/>
      <c r="BH524" s="3"/>
      <c r="BI524" s="3"/>
      <c r="BJ524" s="3"/>
      <c r="BK524" s="3"/>
      <c r="BL524" s="3"/>
      <c r="BM524" s="3"/>
      <c r="BN524" s="3" t="s">
        <v>2118</v>
      </c>
    </row>
    <row r="525" spans="2:66" ht="13"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9</v>
      </c>
      <c r="AD525" s="1663"/>
      <c r="AE525" s="1663"/>
      <c r="AF525" s="1663"/>
      <c r="AG525" s="38" t="s">
        <v>403</v>
      </c>
      <c r="AH525" s="1403">
        <v>2022</v>
      </c>
      <c r="AI525" s="1403"/>
      <c r="AJ525" s="1403"/>
      <c r="AK525" s="1404"/>
      <c r="AZ525" s="3"/>
      <c r="BA525" s="3"/>
      <c r="BB525" s="3"/>
      <c r="BC525" s="3"/>
      <c r="BD525" s="3"/>
      <c r="BE525" s="3"/>
      <c r="BF525" s="3"/>
      <c r="BG525" s="3"/>
      <c r="BH525" s="3"/>
      <c r="BI525" s="3"/>
      <c r="BJ525" s="3"/>
      <c r="BK525" s="3"/>
      <c r="BL525" s="3"/>
      <c r="BM525" s="3"/>
      <c r="BN525" s="3" t="s">
        <v>2119</v>
      </c>
    </row>
    <row r="526" spans="2:66" ht="13" customHeight="1">
      <c r="B526" s="1673"/>
      <c r="C526" s="1433"/>
      <c r="D526" s="1433"/>
      <c r="E526" s="1433"/>
      <c r="F526" s="1433"/>
      <c r="G526" s="1433"/>
      <c r="H526" s="1434"/>
      <c r="I526" s="42" t="s">
        <v>423</v>
      </c>
      <c r="J526" s="42"/>
      <c r="K526" s="42"/>
      <c r="L526" s="42"/>
      <c r="M526" s="42"/>
      <c r="N526" s="42"/>
      <c r="O526" s="1750" t="s">
        <v>2700</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2120</v>
      </c>
    </row>
    <row r="527" spans="2:66" ht="13" customHeight="1">
      <c r="B527" s="1673"/>
      <c r="C527" s="1433"/>
      <c r="D527" s="1433"/>
      <c r="E527" s="1433"/>
      <c r="F527" s="1433"/>
      <c r="G527" s="1433"/>
      <c r="H527" s="1434"/>
      <c r="I527" t="s">
        <v>421</v>
      </c>
      <c r="AC527" s="1662">
        <v>4</v>
      </c>
      <c r="AD527" s="1663"/>
      <c r="AE527" s="1663"/>
      <c r="AF527" s="1663"/>
      <c r="AG527" s="13" t="s">
        <v>403</v>
      </c>
      <c r="AH527" s="1403">
        <v>2022</v>
      </c>
      <c r="AI527" s="1403"/>
      <c r="AJ527" s="1403"/>
      <c r="AK527" s="1404"/>
      <c r="AZ527" s="3"/>
      <c r="BA527" s="3"/>
      <c r="BB527" s="3"/>
      <c r="BC527" s="3"/>
      <c r="BD527" s="3"/>
      <c r="BE527" s="3"/>
      <c r="BF527" s="3"/>
      <c r="BG527" s="3"/>
      <c r="BH527" s="3"/>
      <c r="BI527" s="3"/>
      <c r="BJ527" s="3"/>
      <c r="BK527" s="3"/>
      <c r="BL527" s="3"/>
      <c r="BM527" s="3"/>
      <c r="BN527" s="3" t="s">
        <v>2121</v>
      </c>
    </row>
    <row r="528" spans="2:66" ht="13"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v>6</v>
      </c>
      <c r="AD528" s="1663"/>
      <c r="AE528" s="1663"/>
      <c r="AF528" s="1663"/>
      <c r="AG528" s="38" t="s">
        <v>403</v>
      </c>
      <c r="AH528" s="1403">
        <v>2024</v>
      </c>
      <c r="AI528" s="1403"/>
      <c r="AJ528" s="1403"/>
      <c r="AK528" s="1404"/>
      <c r="AZ528" s="3"/>
      <c r="BA528" s="3"/>
      <c r="BB528" s="3"/>
      <c r="BC528" s="3"/>
      <c r="BD528" s="3"/>
      <c r="BE528" s="3"/>
      <c r="BF528" s="3"/>
      <c r="BG528" s="3"/>
      <c r="BH528" s="3"/>
      <c r="BI528" s="3"/>
      <c r="BJ528" s="3"/>
      <c r="BK528" s="3"/>
      <c r="BL528" s="3"/>
      <c r="BM528" s="3"/>
      <c r="BN528" s="3" t="s">
        <v>2122</v>
      </c>
    </row>
    <row r="529" spans="1:66" ht="13"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2123</v>
      </c>
    </row>
    <row r="530" spans="1:66" ht="13"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2124</v>
      </c>
    </row>
    <row r="531" spans="1:66" ht="13"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2125</v>
      </c>
    </row>
    <row r="532" spans="1:66" ht="13"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2126</v>
      </c>
    </row>
    <row r="533" spans="1:66" ht="13"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2127</v>
      </c>
    </row>
    <row r="534" spans="1:66" ht="13"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2128</v>
      </c>
    </row>
    <row r="535" spans="1:66" ht="13"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2129</v>
      </c>
    </row>
    <row r="536" spans="1:66" ht="13"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2130</v>
      </c>
    </row>
    <row r="537" spans="1:66" ht="13"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2131</v>
      </c>
    </row>
    <row r="538" spans="1:66" ht="13"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8</v>
      </c>
      <c r="AD538" s="1663"/>
      <c r="AE538" s="1663"/>
      <c r="AF538" s="1663"/>
      <c r="AG538" s="38" t="s">
        <v>403</v>
      </c>
      <c r="AH538" s="1403">
        <v>2024</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3"/>
      <c r="C539" s="1433"/>
      <c r="D539" s="1433"/>
      <c r="E539" s="1433"/>
      <c r="F539" s="1433"/>
      <c r="G539" s="1433"/>
      <c r="H539" s="1434"/>
      <c r="I539" t="s">
        <v>564</v>
      </c>
      <c r="AC539" s="1662">
        <v>9</v>
      </c>
      <c r="AD539" s="1663"/>
      <c r="AE539" s="1663"/>
      <c r="AF539" s="1663"/>
      <c r="AG539" s="13" t="s">
        <v>403</v>
      </c>
      <c r="AH539" s="1403">
        <v>2025</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3"/>
      <c r="C540" s="1433"/>
      <c r="D540" s="1433"/>
      <c r="E540" s="1433"/>
      <c r="F540" s="1433"/>
      <c r="G540" s="1433"/>
      <c r="H540" s="1434"/>
      <c r="I540" t="s">
        <v>565</v>
      </c>
      <c r="AC540" s="1662">
        <v>5</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3"/>
      <c r="C541" s="1433"/>
      <c r="D541" s="1433"/>
      <c r="E541" s="1433"/>
      <c r="F541" s="1433"/>
      <c r="G541" s="1433"/>
      <c r="H541" s="1434"/>
      <c r="I541" t="s">
        <v>566</v>
      </c>
      <c r="AC541" s="1662">
        <v>5</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9</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No</v>
      </c>
    </row>
    <row r="551" spans="1:61" ht="13" customHeight="1">
      <c r="B551" s="1672" t="s">
        <v>2105</v>
      </c>
      <c r="C551" s="1431"/>
      <c r="D551" s="1431"/>
      <c r="E551" s="1431"/>
      <c r="F551" s="1431"/>
      <c r="G551" s="1431"/>
      <c r="H551" s="1431"/>
      <c r="I551" s="1431"/>
      <c r="J551" s="1431"/>
      <c r="K551" s="1431"/>
      <c r="L551" s="1432"/>
      <c r="M551" s="1672" t="s">
        <v>2106</v>
      </c>
      <c r="N551" s="1431"/>
      <c r="O551" s="1431"/>
      <c r="P551" s="1432"/>
      <c r="Q551" s="1672" t="s">
        <v>2132</v>
      </c>
      <c r="R551" s="1431"/>
      <c r="S551" s="1432"/>
      <c r="T551" s="1672" t="s">
        <v>2133</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3"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 customHeight="1">
      <c r="B554" s="51" t="s">
        <v>112</v>
      </c>
      <c r="C554" s="1693" t="s">
        <v>2701</v>
      </c>
      <c r="D554" s="1693"/>
      <c r="E554" s="1693"/>
      <c r="F554" s="1693"/>
      <c r="G554" s="1693"/>
      <c r="H554" s="1693"/>
      <c r="I554" s="1693"/>
      <c r="J554" s="1693"/>
      <c r="K554" s="1693"/>
      <c r="L554" s="1693"/>
      <c r="M554" s="1693" t="s">
        <v>2122</v>
      </c>
      <c r="N554" s="1693"/>
      <c r="O554" s="1693"/>
      <c r="P554" s="1693"/>
      <c r="Q554" s="1453">
        <v>27</v>
      </c>
      <c r="R554" s="1453"/>
      <c r="S554" s="1454"/>
      <c r="T554" s="1452">
        <v>0</v>
      </c>
      <c r="U554" s="1453"/>
      <c r="V554" s="1454"/>
      <c r="W554" s="1455">
        <f>[1]EVERYTHING!$D$22</f>
        <v>7.0000000000000007E-2</v>
      </c>
      <c r="X554" s="1456"/>
      <c r="Y554" s="1457"/>
      <c r="Z554" s="1694" t="s">
        <v>2702</v>
      </c>
      <c r="AA554" s="1694"/>
      <c r="AB554" s="1694"/>
      <c r="AC554" s="1694"/>
      <c r="AD554" s="1694"/>
      <c r="AE554" s="1675">
        <v>1</v>
      </c>
      <c r="AF554" s="1676"/>
      <c r="AG554" s="1676"/>
      <c r="AH554" s="1677"/>
      <c r="AI554" s="1678"/>
      <c r="AJ554" s="1679"/>
      <c r="AK554" s="1679"/>
      <c r="AL554" s="1680"/>
      <c r="AM554" s="1668">
        <f>[1]EVERYTHING!$C$22</f>
        <v>52605800.814821787</v>
      </c>
      <c r="AN554" s="1669"/>
      <c r="AO554" s="1669"/>
      <c r="AP554" s="1669"/>
      <c r="AQ554" s="1669"/>
      <c r="AR554" s="1669"/>
      <c r="AS554" s="1670"/>
      <c r="AT554" s="1150"/>
      <c r="AU554" s="1149"/>
      <c r="BB554" s="3"/>
      <c r="BC554" s="3"/>
      <c r="BD554" s="3"/>
      <c r="BE554" s="3"/>
      <c r="BF554" s="3"/>
      <c r="BG554" s="3"/>
      <c r="BH554" s="3"/>
      <c r="BI554" s="3"/>
    </row>
    <row r="555" spans="1:61" ht="13" customHeight="1">
      <c r="B555" s="52" t="s">
        <v>113</v>
      </c>
      <c r="C555" s="1681" t="str">
        <f>C554</f>
        <v>Chase Bank</v>
      </c>
      <c r="D555" s="1681"/>
      <c r="E555" s="1681"/>
      <c r="F555" s="1681"/>
      <c r="G555" s="1681"/>
      <c r="H555" s="1681"/>
      <c r="I555" s="1681"/>
      <c r="J555" s="1681"/>
      <c r="K555" s="1681"/>
      <c r="L555" s="1681"/>
      <c r="M555" s="1693" t="s">
        <v>2121</v>
      </c>
      <c r="N555" s="1693"/>
      <c r="O555" s="1693"/>
      <c r="P555" s="1693"/>
      <c r="Q555" s="1452">
        <f>Q554</f>
        <v>27</v>
      </c>
      <c r="R555" s="1453"/>
      <c r="S555" s="1454"/>
      <c r="T555" s="1452">
        <v>0</v>
      </c>
      <c r="U555" s="1453"/>
      <c r="V555" s="1454"/>
      <c r="W555" s="1455">
        <f>W554</f>
        <v>7.0000000000000007E-2</v>
      </c>
      <c r="X555" s="1456"/>
      <c r="Y555" s="1457"/>
      <c r="Z555" s="1694" t="s">
        <v>2702</v>
      </c>
      <c r="AA555" s="1694"/>
      <c r="AB555" s="1694"/>
      <c r="AC555" s="1694"/>
      <c r="AD555" s="1694"/>
      <c r="AE555" s="1675">
        <v>1</v>
      </c>
      <c r="AF555" s="1676"/>
      <c r="AG555" s="1676"/>
      <c r="AH555" s="1677"/>
      <c r="AI555" s="1678"/>
      <c r="AJ555" s="1679"/>
      <c r="AK555" s="1679"/>
      <c r="AL555" s="1680"/>
      <c r="AM555" s="1668">
        <f>[1]EVERYTHING!$C$23</f>
        <v>18684476.291045479</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 customHeight="1">
      <c r="B556" s="52" t="s">
        <v>119</v>
      </c>
      <c r="C556" s="1681" t="s">
        <v>2613</v>
      </c>
      <c r="D556" s="1681"/>
      <c r="E556" s="1681"/>
      <c r="F556" s="1681"/>
      <c r="G556" s="1681"/>
      <c r="H556" s="1681"/>
      <c r="I556" s="1681"/>
      <c r="J556" s="1681"/>
      <c r="K556" s="1681"/>
      <c r="L556" s="1681"/>
      <c r="M556" s="1693" t="s">
        <v>2118</v>
      </c>
      <c r="N556" s="1693"/>
      <c r="O556" s="1693"/>
      <c r="P556" s="1693"/>
      <c r="Q556" s="1452">
        <v>660</v>
      </c>
      <c r="R556" s="1453"/>
      <c r="S556" s="1454"/>
      <c r="T556" s="1452">
        <v>0</v>
      </c>
      <c r="U556" s="1453"/>
      <c r="V556" s="1454"/>
      <c r="W556" s="1455">
        <v>0.03</v>
      </c>
      <c r="X556" s="1456"/>
      <c r="Y556" s="1457"/>
      <c r="Z556" s="1694" t="s">
        <v>2703</v>
      </c>
      <c r="AA556" s="1694"/>
      <c r="AB556" s="1694"/>
      <c r="AC556" s="1694"/>
      <c r="AD556" s="1694"/>
      <c r="AE556" s="1675">
        <v>2</v>
      </c>
      <c r="AF556" s="1676"/>
      <c r="AG556" s="1676"/>
      <c r="AH556" s="1677"/>
      <c r="AI556" s="1678"/>
      <c r="AJ556" s="1679"/>
      <c r="AK556" s="1679"/>
      <c r="AL556" s="1680"/>
      <c r="AM556" s="1668">
        <f>[1]EVERYTHING!$D$8</f>
        <v>17276908</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 customHeight="1">
      <c r="B557" s="52" t="s">
        <v>582</v>
      </c>
      <c r="C557" s="1681" t="s">
        <v>2704</v>
      </c>
      <c r="D557" s="1681"/>
      <c r="E557" s="1681"/>
      <c r="F557" s="1681"/>
      <c r="G557" s="1681"/>
      <c r="H557" s="1681"/>
      <c r="I557" s="1681"/>
      <c r="J557" s="1681"/>
      <c r="K557" s="1681"/>
      <c r="L557" s="1681"/>
      <c r="M557" s="1693" t="s">
        <v>2120</v>
      </c>
      <c r="N557" s="1693"/>
      <c r="O557" s="1693"/>
      <c r="P557" s="1693"/>
      <c r="Q557" s="1452">
        <v>660</v>
      </c>
      <c r="R557" s="1453"/>
      <c r="S557" s="1454"/>
      <c r="T557" s="1452">
        <v>0</v>
      </c>
      <c r="U557" s="1453"/>
      <c r="V557" s="1454"/>
      <c r="W557" s="1455">
        <v>0</v>
      </c>
      <c r="X557" s="1456"/>
      <c r="Y557" s="1457"/>
      <c r="Z557" s="1694" t="s">
        <v>2703</v>
      </c>
      <c r="AA557" s="1694"/>
      <c r="AB557" s="1694"/>
      <c r="AC557" s="1694"/>
      <c r="AD557" s="1694"/>
      <c r="AE557" s="1675">
        <v>3</v>
      </c>
      <c r="AF557" s="1676"/>
      <c r="AG557" s="1676"/>
      <c r="AH557" s="1677"/>
      <c r="AI557" s="1678"/>
      <c r="AJ557" s="1679"/>
      <c r="AK557" s="1679"/>
      <c r="AL557" s="1680"/>
      <c r="AM557" s="1668">
        <f>[1]EVERYTHING!$D$11</f>
        <v>3711802</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 customHeight="1">
      <c r="B558" s="52" t="s">
        <v>764</v>
      </c>
      <c r="C558" s="1681" t="s">
        <v>2705</v>
      </c>
      <c r="D558" s="1681"/>
      <c r="E558" s="1681"/>
      <c r="F558" s="1681"/>
      <c r="G558" s="1681"/>
      <c r="H558" s="1681"/>
      <c r="I558" s="1681"/>
      <c r="J558" s="1681"/>
      <c r="K558" s="1681"/>
      <c r="L558" s="1681"/>
      <c r="M558" s="1693" t="s">
        <v>2120</v>
      </c>
      <c r="N558" s="1693"/>
      <c r="O558" s="1693"/>
      <c r="P558" s="1693"/>
      <c r="Q558" s="1452">
        <v>660</v>
      </c>
      <c r="R558" s="1453"/>
      <c r="S558" s="1454"/>
      <c r="T558" s="1452">
        <v>0</v>
      </c>
      <c r="U558" s="1453"/>
      <c r="V558" s="1454"/>
      <c r="W558" s="1455">
        <v>0</v>
      </c>
      <c r="X558" s="1456"/>
      <c r="Y558" s="1457"/>
      <c r="Z558" s="1694" t="s">
        <v>2703</v>
      </c>
      <c r="AA558" s="1694"/>
      <c r="AB558" s="1694"/>
      <c r="AC558" s="1694"/>
      <c r="AD558" s="1694"/>
      <c r="AE558" s="1675">
        <v>3</v>
      </c>
      <c r="AF558" s="1676"/>
      <c r="AG558" s="1676"/>
      <c r="AH558" s="1677"/>
      <c r="AI558" s="1678"/>
      <c r="AJ558" s="1679"/>
      <c r="AK558" s="1679"/>
      <c r="AL558" s="1680"/>
      <c r="AM558" s="1668">
        <f>[1]EVERYTHING!$D$14</f>
        <v>450000</v>
      </c>
      <c r="AN558" s="1669"/>
      <c r="AO558" s="1669"/>
      <c r="AP558" s="1669"/>
      <c r="AQ558" s="1669"/>
      <c r="AR558" s="1669"/>
      <c r="AS558" s="1670"/>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81" t="s">
        <v>2706</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2703</v>
      </c>
      <c r="AA559" s="1694"/>
      <c r="AB559" s="1694"/>
      <c r="AC559" s="1694"/>
      <c r="AD559" s="1694"/>
      <c r="AE559" s="1675"/>
      <c r="AF559" s="1676"/>
      <c r="AG559" s="1676"/>
      <c r="AH559" s="1677"/>
      <c r="AI559" s="1678"/>
      <c r="AJ559" s="1679"/>
      <c r="AK559" s="1679"/>
      <c r="AL559" s="1680"/>
      <c r="AM559" s="1668">
        <f>[1]EVERYTHING!$D$17</f>
        <v>100</v>
      </c>
      <c r="AN559" s="1669"/>
      <c r="AO559" s="1669"/>
      <c r="AP559" s="1669"/>
      <c r="AQ559" s="1669"/>
      <c r="AR559" s="1669"/>
      <c r="AS559" s="1670"/>
      <c r="AT559" s="1150" t="str">
        <f t="shared" si="0"/>
        <v/>
      </c>
      <c r="AU559" s="1149"/>
      <c r="BB559" s="3"/>
      <c r="BC559" s="3"/>
      <c r="BD559" s="3"/>
      <c r="BE559" s="3"/>
      <c r="BF559" s="3"/>
      <c r="BG559" s="3"/>
      <c r="BH559" s="3" t="s">
        <v>585</v>
      </c>
      <c r="BI559" s="3" t="str">
        <f>AG665</f>
        <v>Yes</v>
      </c>
    </row>
    <row r="560" spans="1:61" ht="13" customHeight="1">
      <c r="B560" s="52" t="s">
        <v>456</v>
      </c>
      <c r="C560" s="1681" t="s">
        <v>2707</v>
      </c>
      <c r="D560" s="1681"/>
      <c r="E560" s="1681"/>
      <c r="F560" s="1681"/>
      <c r="G560" s="1681"/>
      <c r="H560" s="1681"/>
      <c r="I560" s="1681"/>
      <c r="J560" s="1681"/>
      <c r="K560" s="1681"/>
      <c r="L560" s="1681"/>
      <c r="M560" s="1693" t="s">
        <v>2113</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f>[1]EVERYTHING!$D$18*0.1</f>
        <v>4248082.6366760256</v>
      </c>
      <c r="AN560" s="1669"/>
      <c r="AO560" s="1669"/>
      <c r="AP560" s="1669"/>
      <c r="AQ560" s="1669"/>
      <c r="AR560" s="1669"/>
      <c r="AS560" s="1670"/>
      <c r="AT560" s="1150" t="str">
        <f t="shared" si="0"/>
        <v/>
      </c>
      <c r="AU560" s="1149"/>
      <c r="BB560" s="3"/>
      <c r="BC560" s="3"/>
      <c r="BD560" s="3"/>
      <c r="BE560" s="3"/>
      <c r="BF560" s="3"/>
      <c r="BG560" s="3"/>
      <c r="BH560" s="3"/>
      <c r="BI560" s="3"/>
    </row>
    <row r="561" spans="1:61" ht="13"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0"/>
        <v/>
      </c>
      <c r="AU561" s="1149"/>
      <c r="BB561" s="3"/>
      <c r="BC561" s="3"/>
      <c r="BD561" s="3"/>
      <c r="BE561" s="3"/>
      <c r="BF561" s="3"/>
      <c r="BG561" s="3"/>
      <c r="BH561" s="3"/>
      <c r="BI561" s="3"/>
    </row>
    <row r="562" spans="1:61" ht="13"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0"/>
        <v/>
      </c>
      <c r="AU562" s="1149"/>
      <c r="BB562" s="3"/>
      <c r="BC562" s="3"/>
      <c r="BD562" s="3"/>
      <c r="BE562" s="3"/>
      <c r="BF562" s="3"/>
      <c r="BG562" s="3"/>
      <c r="BH562" s="3"/>
      <c r="BI562" s="3"/>
    </row>
    <row r="563" spans="1:61" ht="13"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0"/>
        <v/>
      </c>
      <c r="BB563" s="3"/>
      <c r="BC563" s="3"/>
      <c r="BD563" s="3"/>
      <c r="BE563" s="3"/>
      <c r="BF563" s="3"/>
      <c r="BG563" s="3"/>
      <c r="BH563" s="3"/>
      <c r="BI563" s="3"/>
    </row>
    <row r="564" spans="1:61" ht="13"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3"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96977169.742543295</v>
      </c>
      <c r="AN566" s="1616"/>
      <c r="AO566" s="1616"/>
      <c r="AP566" s="1616"/>
      <c r="AQ566" s="1616"/>
      <c r="AR566" s="1616"/>
      <c r="AS566" s="1617"/>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9" t="str">
        <f>C554</f>
        <v>Chase Bank</v>
      </c>
      <c r="H568" s="1359"/>
      <c r="I568" s="1359"/>
      <c r="J568" s="1359"/>
      <c r="K568" s="1359"/>
      <c r="L568" s="1359"/>
      <c r="M568" s="1359"/>
      <c r="N568" s="1359"/>
      <c r="O568" s="1359"/>
      <c r="P568" s="1359"/>
      <c r="Q568" s="1359"/>
      <c r="R568" s="1359"/>
      <c r="S568" s="8"/>
      <c r="T568" s="55" t="s">
        <v>113</v>
      </c>
      <c r="U568" t="s">
        <v>464</v>
      </c>
      <c r="Z568" s="1359" t="str">
        <f>C555</f>
        <v>Chase 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2708</v>
      </c>
      <c r="H569" s="1372"/>
      <c r="I569" s="1372"/>
      <c r="J569" s="1372"/>
      <c r="K569" s="1372"/>
      <c r="L569" s="1372"/>
      <c r="M569" s="1372"/>
      <c r="N569" s="1372"/>
      <c r="O569" s="1372"/>
      <c r="P569" s="1372"/>
      <c r="Q569" s="1372"/>
      <c r="R569" s="1372"/>
      <c r="S569" s="8"/>
      <c r="T569" s="22"/>
      <c r="U569" t="s">
        <v>85</v>
      </c>
      <c r="Z569" s="1372" t="str">
        <f>G569</f>
        <v>560 Mission Street, 4th Floor</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581</v>
      </c>
      <c r="G570" s="1372" t="s">
        <v>731</v>
      </c>
      <c r="H570" s="1372"/>
      <c r="I570" s="1372"/>
      <c r="J570" s="1372"/>
      <c r="K570" s="1372"/>
      <c r="L570" s="1372"/>
      <c r="M570" s="1372"/>
      <c r="N570" s="1372"/>
      <c r="O570" s="1372"/>
      <c r="P570" s="1372"/>
      <c r="Q570" s="1372"/>
      <c r="R570" s="1372"/>
      <c r="T570" s="22"/>
      <c r="U570" t="s">
        <v>581</v>
      </c>
      <c r="Z570" s="1349" t="str">
        <f>G570</f>
        <v>San Francisco</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2709</v>
      </c>
      <c r="H571" s="1372"/>
      <c r="I571" s="1372"/>
      <c r="J571" s="1372"/>
      <c r="K571" s="1372"/>
      <c r="L571" s="1372"/>
      <c r="M571" s="1372"/>
      <c r="N571" s="1372"/>
      <c r="O571" s="1372"/>
      <c r="P571" s="1372"/>
      <c r="Q571" s="1372"/>
      <c r="R571" s="1372"/>
      <c r="S571" s="8"/>
      <c r="T571" s="22"/>
      <c r="U571" t="s">
        <v>17</v>
      </c>
      <c r="Z571" s="1349" t="str">
        <f>G571</f>
        <v>James Vossoughi</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316</v>
      </c>
      <c r="G572" s="1347" t="s">
        <v>2710</v>
      </c>
      <c r="H572" s="1347"/>
      <c r="I572" s="1347"/>
      <c r="J572" s="1347"/>
      <c r="K572" s="1347"/>
      <c r="L572" s="1347"/>
      <c r="O572" s="33" t="s">
        <v>206</v>
      </c>
      <c r="P572" s="1437"/>
      <c r="Q572" s="1437"/>
      <c r="R572" s="1437"/>
      <c r="S572" s="10"/>
      <c r="T572" s="22"/>
      <c r="U572" t="s">
        <v>316</v>
      </c>
      <c r="Z572" s="1347" t="str">
        <f>G572</f>
        <v>(415) 315-6708</v>
      </c>
      <c r="AA572" s="1347"/>
      <c r="AB572" s="1347"/>
      <c r="AC572" s="1347"/>
      <c r="AD572" s="1347"/>
      <c r="AE572" s="1347"/>
      <c r="AH572" s="33" t="s">
        <v>206</v>
      </c>
      <c r="AI572" s="1437"/>
      <c r="AJ572" s="1437"/>
      <c r="AK572" s="1437"/>
      <c r="BB572" s="3"/>
      <c r="BC572" s="3"/>
      <c r="BD572" s="3"/>
      <c r="BE572" s="3"/>
      <c r="BF572" s="3"/>
      <c r="BG572" s="3"/>
      <c r="BH572" s="3"/>
      <c r="BI572" s="3"/>
    </row>
    <row r="573" spans="1:61" ht="13" customHeight="1">
      <c r="A573" s="22"/>
      <c r="B573" t="s">
        <v>18</v>
      </c>
      <c r="H573" s="1372" t="s">
        <v>2711</v>
      </c>
      <c r="I573" s="1372"/>
      <c r="J573" s="1372"/>
      <c r="K573" s="1372"/>
      <c r="L573" s="1372"/>
      <c r="M573" s="1372"/>
      <c r="N573" s="1372"/>
      <c r="O573" s="1372"/>
      <c r="P573" s="1372"/>
      <c r="Q573" s="1372"/>
      <c r="R573" s="1372"/>
      <c r="S573" s="8"/>
      <c r="T573" s="22"/>
      <c r="U573" t="s">
        <v>18</v>
      </c>
      <c r="AA573" s="1372" t="s">
        <v>2713</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1" t="s">
        <v>1186</v>
      </c>
      <c r="H574" s="8"/>
      <c r="I574" s="8"/>
      <c r="J574" s="8"/>
      <c r="K574" s="8"/>
      <c r="L574" s="8"/>
      <c r="M574" s="1696" t="s">
        <v>2712</v>
      </c>
      <c r="N574" s="1696"/>
      <c r="O574" s="1696"/>
      <c r="P574" s="1696"/>
      <c r="Q574" s="1696"/>
      <c r="R574" s="1696"/>
      <c r="S574" s="8"/>
      <c r="T574" s="22"/>
      <c r="U574" s="321" t="s">
        <v>1186</v>
      </c>
      <c r="AA574" s="8"/>
      <c r="AB574" s="8"/>
      <c r="AC574" s="8"/>
      <c r="AD574" s="8"/>
      <c r="AE574" s="8"/>
      <c r="AF574" s="1696" t="s">
        <v>2712</v>
      </c>
      <c r="AG574" s="1696"/>
      <c r="AH574" s="1696"/>
      <c r="AI574" s="1696"/>
      <c r="AJ574" s="1696"/>
      <c r="AK574" s="1696"/>
      <c r="BB574" s="3"/>
      <c r="BC574" s="3"/>
      <c r="BD574" s="3"/>
      <c r="BE574" s="3"/>
      <c r="BF574" s="3"/>
      <c r="BG574" s="3"/>
      <c r="BH574" s="3"/>
      <c r="BI574" s="3"/>
    </row>
    <row r="575" spans="1:61" ht="13" customHeight="1">
      <c r="A575" s="22"/>
      <c r="B575" t="s">
        <v>20</v>
      </c>
      <c r="N575" s="1333" t="s">
        <v>546</v>
      </c>
      <c r="O575" s="1333"/>
      <c r="T575" s="22"/>
      <c r="U575" t="s">
        <v>20</v>
      </c>
      <c r="AG575" s="1333" t="s">
        <v>546</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9" t="str">
        <f>C556</f>
        <v>City of Fremont</v>
      </c>
      <c r="H577" s="1359"/>
      <c r="I577" s="1359"/>
      <c r="J577" s="1359"/>
      <c r="K577" s="1359"/>
      <c r="L577" s="1359"/>
      <c r="M577" s="1359"/>
      <c r="N577" s="1359"/>
      <c r="O577" s="1359"/>
      <c r="P577" s="1359"/>
      <c r="Q577" s="1359"/>
      <c r="R577" s="1359"/>
      <c r="T577" s="55" t="s">
        <v>582</v>
      </c>
      <c r="U577" t="s">
        <v>464</v>
      </c>
      <c r="Z577" s="1359" t="str">
        <f>C557</f>
        <v>Sponsor loan HCD AHSC HRI grant</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2714</v>
      </c>
      <c r="H578" s="1372"/>
      <c r="I578" s="1372"/>
      <c r="J578" s="1372"/>
      <c r="K578" s="1372"/>
      <c r="L578" s="1372"/>
      <c r="M578" s="1372"/>
      <c r="N578" s="1372"/>
      <c r="O578" s="1372"/>
      <c r="P578" s="1372"/>
      <c r="Q578" s="1372"/>
      <c r="R578" s="1372"/>
      <c r="T578" s="22"/>
      <c r="U578" t="s">
        <v>85</v>
      </c>
      <c r="Z578" s="1372" t="s">
        <v>2718</v>
      </c>
      <c r="AA578" s="1372"/>
      <c r="AB578" s="1372"/>
      <c r="AC578" s="1372"/>
      <c r="AD578" s="1372"/>
      <c r="AE578" s="1372"/>
      <c r="AF578" s="1372"/>
      <c r="AG578" s="1372"/>
      <c r="AH578" s="1372"/>
      <c r="AI578" s="1372"/>
      <c r="AJ578" s="1372"/>
      <c r="AK578" s="1372"/>
      <c r="BB578" s="3"/>
      <c r="BC578" s="3"/>
    </row>
    <row r="579" spans="1:55" ht="13" customHeight="1">
      <c r="A579" s="22"/>
      <c r="B579" t="s">
        <v>581</v>
      </c>
      <c r="G579" s="1349" t="s">
        <v>2616</v>
      </c>
      <c r="H579" s="1349"/>
      <c r="I579" s="1349"/>
      <c r="J579" s="1349"/>
      <c r="K579" s="1349"/>
      <c r="L579" s="1349"/>
      <c r="M579" s="1349"/>
      <c r="N579" s="1349"/>
      <c r="O579" s="1349"/>
      <c r="P579" s="1349"/>
      <c r="Q579" s="1349"/>
      <c r="R579" s="1349"/>
      <c r="T579" s="22"/>
      <c r="U579" t="s">
        <v>581</v>
      </c>
      <c r="Z579" s="1349" t="s">
        <v>68</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2715</v>
      </c>
      <c r="H580" s="1349"/>
      <c r="I580" s="1349"/>
      <c r="J580" s="1349"/>
      <c r="K580" s="1349"/>
      <c r="L580" s="1349"/>
      <c r="M580" s="1349"/>
      <c r="N580" s="1349"/>
      <c r="O580" s="1349"/>
      <c r="P580" s="1349"/>
      <c r="Q580" s="1349"/>
      <c r="R580" s="1349"/>
      <c r="T580" s="22"/>
      <c r="U580" t="s">
        <v>17</v>
      </c>
      <c r="Z580" s="1349" t="s">
        <v>2719</v>
      </c>
      <c r="AA580" s="1349"/>
      <c r="AB580" s="1349"/>
      <c r="AC580" s="1349"/>
      <c r="AD580" s="1349"/>
      <c r="AE580" s="1349"/>
      <c r="AF580" s="1349"/>
      <c r="AG580" s="1349"/>
      <c r="AH580" s="1349"/>
      <c r="AI580" s="1349"/>
      <c r="AJ580" s="1349"/>
      <c r="AK580" s="1349"/>
      <c r="BB580" s="3"/>
      <c r="BC580" s="3"/>
    </row>
    <row r="581" spans="1:55" ht="13" customHeight="1">
      <c r="A581" s="22"/>
      <c r="B581" t="s">
        <v>316</v>
      </c>
      <c r="G581" s="1347" t="s">
        <v>2716</v>
      </c>
      <c r="H581" s="1347"/>
      <c r="I581" s="1347"/>
      <c r="J581" s="1347"/>
      <c r="K581" s="1347"/>
      <c r="L581" s="1347"/>
      <c r="O581" s="33" t="s">
        <v>206</v>
      </c>
      <c r="P581" s="1437"/>
      <c r="Q581" s="1437"/>
      <c r="R581" s="1437"/>
      <c r="T581" s="22"/>
      <c r="U581" t="s">
        <v>316</v>
      </c>
      <c r="Z581" s="1347" t="s">
        <v>2720</v>
      </c>
      <c r="AA581" s="1347"/>
      <c r="AB581" s="1347"/>
      <c r="AC581" s="1347"/>
      <c r="AD581" s="1347"/>
      <c r="AE581" s="1347"/>
      <c r="AH581" s="33" t="s">
        <v>206</v>
      </c>
      <c r="AI581" s="1437"/>
      <c r="AJ581" s="1437"/>
      <c r="AK581" s="1437"/>
      <c r="BB581" s="3"/>
      <c r="BC581" s="3"/>
    </row>
    <row r="582" spans="1:55" ht="13" customHeight="1">
      <c r="A582" s="22"/>
      <c r="B582" t="s">
        <v>18</v>
      </c>
      <c r="H582" s="1372" t="s">
        <v>2717</v>
      </c>
      <c r="I582" s="1372"/>
      <c r="J582" s="1372"/>
      <c r="K582" s="1372"/>
      <c r="L582" s="1372"/>
      <c r="M582" s="1372"/>
      <c r="N582" s="1372"/>
      <c r="O582" s="1372"/>
      <c r="P582" s="1372"/>
      <c r="Q582" s="1372"/>
      <c r="R582" s="1372"/>
      <c r="T582" s="22"/>
      <c r="U582" t="s">
        <v>18</v>
      </c>
      <c r="AA582" s="1372" t="s">
        <v>2721</v>
      </c>
      <c r="AB582" s="1372"/>
      <c r="AC582" s="1372"/>
      <c r="AD582" s="1372"/>
      <c r="AE582" s="1372"/>
      <c r="AF582" s="1372"/>
      <c r="AG582" s="1372"/>
      <c r="AH582" s="1372"/>
      <c r="AI582" s="1372"/>
      <c r="AJ582" s="1372"/>
      <c r="AK582" s="1372"/>
      <c r="BB582" s="3"/>
      <c r="BC582" s="3"/>
    </row>
    <row r="583" spans="1:55" ht="13" customHeight="1">
      <c r="A583" s="22"/>
      <c r="B583" t="s">
        <v>20</v>
      </c>
      <c r="N583" s="1333" t="s">
        <v>546</v>
      </c>
      <c r="O583" s="1333"/>
      <c r="T583" s="22"/>
      <c r="U583" t="s">
        <v>20</v>
      </c>
      <c r="AG583" s="1333" t="s">
        <v>546</v>
      </c>
      <c r="AH583" s="1333"/>
      <c r="BB583" s="3"/>
      <c r="BC583" s="3"/>
    </row>
    <row r="584" spans="1:55" ht="13" customHeight="1">
      <c r="A584" s="22"/>
      <c r="T584" s="22"/>
      <c r="BB584" s="3"/>
      <c r="BC584" s="3"/>
    </row>
    <row r="585" spans="1:55" ht="13" customHeight="1">
      <c r="A585" s="55" t="s">
        <v>764</v>
      </c>
      <c r="B585" t="s">
        <v>464</v>
      </c>
      <c r="G585" s="1359" t="str">
        <f>C558</f>
        <v>Sponsor loan DTSC grant</v>
      </c>
      <c r="H585" s="1359"/>
      <c r="I585" s="1359"/>
      <c r="J585" s="1359"/>
      <c r="K585" s="1359"/>
      <c r="L585" s="1359"/>
      <c r="M585" s="1359"/>
      <c r="N585" s="1359"/>
      <c r="O585" s="1359"/>
      <c r="P585" s="1359"/>
      <c r="Q585" s="1359"/>
      <c r="R585" s="1359"/>
      <c r="T585" s="55" t="s">
        <v>585</v>
      </c>
      <c r="U585" t="s">
        <v>464</v>
      </c>
      <c r="Z585" s="1359" t="str">
        <f>C559</f>
        <v>GP equity</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2722</v>
      </c>
      <c r="H586" s="1372"/>
      <c r="I586" s="1372"/>
      <c r="J586" s="1372"/>
      <c r="K586" s="1372"/>
      <c r="L586" s="1372"/>
      <c r="M586" s="1372"/>
      <c r="N586" s="1372"/>
      <c r="O586" s="1372"/>
      <c r="P586" s="1372"/>
      <c r="Q586" s="1372"/>
      <c r="R586" s="1372"/>
      <c r="T586" s="22"/>
      <c r="U586" t="s">
        <v>85</v>
      </c>
      <c r="Z586" s="1372" t="s">
        <v>2628</v>
      </c>
      <c r="AA586" s="1372"/>
      <c r="AB586" s="1372"/>
      <c r="AC586" s="1372"/>
      <c r="AD586" s="1372"/>
      <c r="AE586" s="1372"/>
      <c r="AF586" s="1372"/>
      <c r="AG586" s="1372"/>
      <c r="AH586" s="1372"/>
      <c r="AI586" s="1372"/>
      <c r="AJ586" s="1372"/>
      <c r="AK586" s="1372"/>
      <c r="BB586" s="3"/>
      <c r="BC586" s="3"/>
    </row>
    <row r="587" spans="1:55" ht="13" customHeight="1">
      <c r="A587" s="22"/>
      <c r="B587" t="s">
        <v>581</v>
      </c>
      <c r="G587" s="1372" t="s">
        <v>2723</v>
      </c>
      <c r="H587" s="1372"/>
      <c r="I587" s="1372"/>
      <c r="J587" s="1372"/>
      <c r="K587" s="1372"/>
      <c r="L587" s="1372"/>
      <c r="M587" s="1372"/>
      <c r="N587" s="1372"/>
      <c r="O587" s="1372"/>
      <c r="P587" s="1372"/>
      <c r="Q587" s="1372"/>
      <c r="R587" s="1372"/>
      <c r="T587" s="22"/>
      <c r="U587" t="s">
        <v>581</v>
      </c>
      <c r="Z587" s="1349" t="s">
        <v>2630</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2724</v>
      </c>
      <c r="H588" s="1372"/>
      <c r="I588" s="1372"/>
      <c r="J588" s="1372"/>
      <c r="K588" s="1372"/>
      <c r="L588" s="1372"/>
      <c r="M588" s="1372"/>
      <c r="N588" s="1372"/>
      <c r="O588" s="1372"/>
      <c r="P588" s="1372"/>
      <c r="Q588" s="1372"/>
      <c r="R588" s="1372"/>
      <c r="T588" s="22"/>
      <c r="U588" t="s">
        <v>17</v>
      </c>
      <c r="Z588" s="1349" t="s">
        <v>2725</v>
      </c>
      <c r="AA588" s="1349"/>
      <c r="AB588" s="1349"/>
      <c r="AC588" s="1349"/>
      <c r="AD588" s="1349"/>
      <c r="AE588" s="1349"/>
      <c r="AF588" s="1349"/>
      <c r="AG588" s="1349"/>
      <c r="AH588" s="1349"/>
      <c r="AI588" s="1349"/>
      <c r="AJ588" s="1349"/>
      <c r="AK588" s="1349"/>
    </row>
    <row r="589" spans="1:55" ht="13" customHeight="1">
      <c r="A589" s="22"/>
      <c r="B589" t="s">
        <v>316</v>
      </c>
      <c r="G589" s="1733" t="s">
        <v>2727</v>
      </c>
      <c r="H589" s="1347"/>
      <c r="I589" s="1347"/>
      <c r="J589" s="1347"/>
      <c r="K589" s="1347"/>
      <c r="L589" s="1347"/>
      <c r="O589" s="33" t="s">
        <v>206</v>
      </c>
      <c r="P589" s="1437"/>
      <c r="Q589" s="1437"/>
      <c r="R589" s="1437"/>
      <c r="T589" s="22"/>
      <c r="U589" t="s">
        <v>316</v>
      </c>
      <c r="Z589" s="1347" t="s">
        <v>2646</v>
      </c>
      <c r="AA589" s="1347"/>
      <c r="AB589" s="1347"/>
      <c r="AC589" s="1347"/>
      <c r="AD589" s="1347"/>
      <c r="AE589" s="1347"/>
      <c r="AH589" s="33" t="s">
        <v>206</v>
      </c>
      <c r="AI589" s="1437">
        <v>315</v>
      </c>
      <c r="AJ589" s="1437"/>
      <c r="AK589" s="1437"/>
      <c r="AZ589" s="3"/>
      <c r="BA589" s="3"/>
      <c r="BB589" s="3"/>
      <c r="BC589" s="3"/>
    </row>
    <row r="590" spans="1:55" ht="13" customHeight="1">
      <c r="A590" s="22"/>
      <c r="B590" t="s">
        <v>18</v>
      </c>
      <c r="H590" s="1372" t="s">
        <v>2728</v>
      </c>
      <c r="I590" s="1372"/>
      <c r="J590" s="1372"/>
      <c r="K590" s="1372"/>
      <c r="L590" s="1372"/>
      <c r="M590" s="1372"/>
      <c r="N590" s="1372"/>
      <c r="O590" s="1372"/>
      <c r="P590" s="1372"/>
      <c r="Q590" s="1372"/>
      <c r="R590" s="1372"/>
      <c r="T590" s="22"/>
      <c r="U590" t="s">
        <v>18</v>
      </c>
      <c r="AA590" s="1372" t="s">
        <v>2726</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3" t="s">
        <v>546</v>
      </c>
      <c r="O591" s="1333"/>
      <c r="T591" s="22"/>
      <c r="U591" t="s">
        <v>20</v>
      </c>
      <c r="AG591" s="1333" t="s">
        <v>546</v>
      </c>
      <c r="AH591" s="1333"/>
      <c r="AZ591" s="3"/>
      <c r="BA591" s="3"/>
      <c r="BB591" s="3"/>
      <c r="BC591" s="3"/>
    </row>
    <row r="592" spans="1:55" ht="13" customHeight="1">
      <c r="A592" s="22"/>
      <c r="T592" s="22"/>
      <c r="AZ592" s="3"/>
      <c r="BA592" s="3"/>
      <c r="BB592" s="3"/>
      <c r="BC592" s="3"/>
    </row>
    <row r="593" spans="1:55" ht="13" customHeight="1">
      <c r="A593" s="55" t="s">
        <v>456</v>
      </c>
      <c r="B593" t="s">
        <v>464</v>
      </c>
      <c r="G593" s="1359" t="str">
        <f>C560</f>
        <v>LP equity available for construction</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t="s">
        <v>2729</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3" t="s">
        <v>670</v>
      </c>
      <c r="O599" s="1333"/>
      <c r="T599" s="22"/>
      <c r="U599" t="s">
        <v>20</v>
      </c>
      <c r="AG599" s="1333" t="s">
        <v>670</v>
      </c>
      <c r="AH599" s="1333"/>
      <c r="BB599" s="3"/>
      <c r="BC599" s="3"/>
    </row>
    <row r="600" spans="1:55" ht="13" customHeight="1">
      <c r="A600" s="22"/>
      <c r="T600" s="22"/>
      <c r="BB600" s="3"/>
      <c r="BC600" s="3"/>
    </row>
    <row r="601" spans="1:55" ht="13"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 customHeight="1">
      <c r="B615" t="s">
        <v>20</v>
      </c>
      <c r="N615" s="1333" t="s">
        <v>670</v>
      </c>
      <c r="O615" s="1333"/>
      <c r="U615" t="s">
        <v>20</v>
      </c>
      <c r="AG615" s="1333" t="s">
        <v>670</v>
      </c>
      <c r="AH615" s="1333"/>
      <c r="AU615" s="900"/>
      <c r="AV615" s="900"/>
      <c r="AW615" s="900"/>
      <c r="AX615" s="900"/>
      <c r="AY615" s="900"/>
      <c r="AZ615" s="3"/>
      <c r="BA615" s="3"/>
      <c r="BB615" s="3"/>
      <c r="BC615" s="3"/>
    </row>
    <row r="616" spans="1:55" ht="13" customHeight="1">
      <c r="AZ616" s="3"/>
      <c r="BA616" s="3"/>
      <c r="BB616" s="3"/>
      <c r="BC616" s="3"/>
    </row>
    <row r="617" spans="1:55" ht="13"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00" t="s">
        <v>2105</v>
      </c>
      <c r="C624" s="1700"/>
      <c r="D624" s="1700"/>
      <c r="E624" s="1700"/>
      <c r="F624" s="1700"/>
      <c r="G624" s="1700"/>
      <c r="H624" s="1700"/>
      <c r="I624" s="1700"/>
      <c r="J624" s="1700"/>
      <c r="K624" s="1700"/>
      <c r="L624" s="1700"/>
      <c r="M624" s="1442" t="s">
        <v>2106</v>
      </c>
      <c r="N624" s="1442"/>
      <c r="O624" s="1442"/>
      <c r="P624" s="1442"/>
      <c r="Q624" s="1442" t="s">
        <v>1854</v>
      </c>
      <c r="R624" s="1442"/>
      <c r="S624" s="1442"/>
      <c r="T624" s="1442" t="s">
        <v>1852</v>
      </c>
      <c r="U624" s="1442"/>
      <c r="V624" s="1442"/>
      <c r="W624" s="1701" t="s">
        <v>454</v>
      </c>
      <c r="X624" s="1701"/>
      <c r="Y624" s="1701"/>
      <c r="Z624" s="1431" t="s">
        <v>2135</v>
      </c>
      <c r="AA624" s="1431"/>
      <c r="AB624" s="1432"/>
      <c r="AC624" s="1683" t="s">
        <v>1677</v>
      </c>
      <c r="AD624" s="1684"/>
      <c r="AE624" s="1685"/>
      <c r="AF624" s="1672" t="s">
        <v>1932</v>
      </c>
      <c r="AG624" s="1431"/>
      <c r="AH624" s="1431"/>
      <c r="AI624" s="1431"/>
      <c r="AJ624" s="1432"/>
      <c r="AK624" s="1734" t="s">
        <v>1933</v>
      </c>
      <c r="AL624" s="1735"/>
      <c r="AM624" s="1735"/>
      <c r="AN624" s="1736"/>
      <c r="AO624" s="1442" t="s">
        <v>455</v>
      </c>
      <c r="AP624" s="1442"/>
      <c r="AQ624" s="1442"/>
      <c r="AR624" s="1442"/>
      <c r="AS624" s="1442"/>
      <c r="AU624" s="3"/>
      <c r="AZ624" s="3"/>
      <c r="BA624" s="3"/>
      <c r="BB624" s="3"/>
      <c r="BC624" s="3"/>
    </row>
    <row r="625" spans="2:157" ht="13"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6"/>
      <c r="AD625" s="1687"/>
      <c r="AE625" s="1688"/>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9"/>
      <c r="AD626" s="1690"/>
      <c r="AE626" s="1691"/>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3" customHeight="1">
      <c r="B627" s="51" t="s">
        <v>112</v>
      </c>
      <c r="C627" s="1692" t="s">
        <v>2730</v>
      </c>
      <c r="D627" s="1692"/>
      <c r="E627" s="1692"/>
      <c r="F627" s="1692"/>
      <c r="G627" s="1692"/>
      <c r="H627" s="1692"/>
      <c r="I627" s="1692"/>
      <c r="J627" s="1692"/>
      <c r="K627" s="1692"/>
      <c r="L627" s="1692"/>
      <c r="M627" s="1618" t="s">
        <v>2122</v>
      </c>
      <c r="N627" s="1618"/>
      <c r="O627" s="1618"/>
      <c r="P627" s="1618"/>
      <c r="Q627" s="1426">
        <f>12*30</f>
        <v>360</v>
      </c>
      <c r="R627" s="1426"/>
      <c r="S627" s="1427"/>
      <c r="T627" s="1425">
        <f>12*30</f>
        <v>360</v>
      </c>
      <c r="U627" s="1426"/>
      <c r="V627" s="1427"/>
      <c r="W627" s="1438">
        <f>[1]EVERYTHING!$AE$50</f>
        <v>6.7000000000000004E-2</v>
      </c>
      <c r="X627" s="1439"/>
      <c r="Y627" s="1440"/>
      <c r="Z627" s="1478" t="s">
        <v>2134</v>
      </c>
      <c r="AA627" s="1479"/>
      <c r="AB627" s="1480"/>
      <c r="AC627" s="1446">
        <v>1</v>
      </c>
      <c r="AD627" s="1447"/>
      <c r="AE627" s="1448"/>
      <c r="AF627" s="1475">
        <f>[1]EVERYTHING!$AG$45</f>
        <v>317709.06526782247</v>
      </c>
      <c r="AG627" s="1476"/>
      <c r="AH627" s="1476"/>
      <c r="AI627" s="1476"/>
      <c r="AJ627" s="1477"/>
      <c r="AK627" s="1428"/>
      <c r="AL627" s="1429"/>
      <c r="AM627" s="1429"/>
      <c r="AN627" s="1430"/>
      <c r="AO627" s="1481">
        <f>[1]EVERYTHING!$D$7</f>
        <v>4103000</v>
      </c>
      <c r="AP627" s="1481"/>
      <c r="AQ627" s="1481"/>
      <c r="AR627" s="1481"/>
      <c r="AS627" s="1481"/>
      <c r="AT627" s="3"/>
      <c r="AU627" s="3"/>
      <c r="AZ627" s="3"/>
      <c r="BA627" s="3"/>
      <c r="BB627" s="3"/>
      <c r="BC627" s="3"/>
      <c r="BD627" s="3"/>
    </row>
    <row r="628" spans="2:157" ht="13" customHeight="1">
      <c r="B628" s="52" t="s">
        <v>113</v>
      </c>
      <c r="C628" s="1692" t="s">
        <v>2731</v>
      </c>
      <c r="D628" s="1692"/>
      <c r="E628" s="1692"/>
      <c r="F628" s="1692"/>
      <c r="G628" s="1692"/>
      <c r="H628" s="1692"/>
      <c r="I628" s="1692"/>
      <c r="J628" s="1692"/>
      <c r="K628" s="1692"/>
      <c r="L628" s="1692"/>
      <c r="M628" s="1618" t="s">
        <v>2118</v>
      </c>
      <c r="N628" s="1618"/>
      <c r="O628" s="1618"/>
      <c r="P628" s="1618"/>
      <c r="Q628" s="1425">
        <v>660</v>
      </c>
      <c r="R628" s="1426"/>
      <c r="S628" s="1427"/>
      <c r="T628" s="1425">
        <v>0</v>
      </c>
      <c r="U628" s="1426"/>
      <c r="V628" s="1427"/>
      <c r="W628" s="1438">
        <v>0.03</v>
      </c>
      <c r="X628" s="1439"/>
      <c r="Y628" s="1440"/>
      <c r="Z628" s="1478" t="s">
        <v>458</v>
      </c>
      <c r="AA628" s="1479"/>
      <c r="AB628" s="1480"/>
      <c r="AC628" s="1446">
        <v>2</v>
      </c>
      <c r="AD628" s="1447"/>
      <c r="AE628" s="1448"/>
      <c r="AF628" s="1475">
        <f>[1]EVERYTHING!$AG$44</f>
        <v>131410.43159999998</v>
      </c>
      <c r="AG628" s="1476"/>
      <c r="AH628" s="1476"/>
      <c r="AI628" s="1476"/>
      <c r="AJ628" s="1477"/>
      <c r="AK628" s="1428"/>
      <c r="AL628" s="1429"/>
      <c r="AM628" s="1429"/>
      <c r="AN628" s="1430"/>
      <c r="AO628" s="1466">
        <f>[1]EVERYTHING!$D$10</f>
        <v>31288198</v>
      </c>
      <c r="AP628" s="1467"/>
      <c r="AQ628" s="1467"/>
      <c r="AR628" s="1467"/>
      <c r="AS628" s="1468"/>
      <c r="AT628" s="1150" t="str">
        <f>IF(AND(NOT(C627=""),C628="",NOT(C629="")),"!","")</f>
        <v/>
      </c>
      <c r="AU628" s="3"/>
      <c r="AZ628" s="3"/>
      <c r="BA628" s="3"/>
      <c r="BB628" s="3"/>
      <c r="BC628" s="3"/>
      <c r="BD628" s="3"/>
    </row>
    <row r="629" spans="2:157" ht="13" customHeight="1">
      <c r="B629" s="52" t="s">
        <v>119</v>
      </c>
      <c r="C629" s="1692" t="str">
        <f>C556</f>
        <v>City of Fremont</v>
      </c>
      <c r="D629" s="1692"/>
      <c r="E629" s="1692"/>
      <c r="F629" s="1692"/>
      <c r="G629" s="1692"/>
      <c r="H629" s="1692"/>
      <c r="I629" s="1692"/>
      <c r="J629" s="1692"/>
      <c r="K629" s="1692"/>
      <c r="L629" s="1692"/>
      <c r="M629" s="1618" t="s">
        <v>2118</v>
      </c>
      <c r="N629" s="1618"/>
      <c r="O629" s="1618"/>
      <c r="P629" s="1618"/>
      <c r="Q629" s="1425">
        <v>660</v>
      </c>
      <c r="R629" s="1426"/>
      <c r="S629" s="1427"/>
      <c r="T629" s="1425">
        <v>0</v>
      </c>
      <c r="U629" s="1426"/>
      <c r="V629" s="1427"/>
      <c r="W629" s="1438">
        <v>0.03</v>
      </c>
      <c r="X629" s="1439"/>
      <c r="Y629" s="1440"/>
      <c r="Z629" s="1478" t="s">
        <v>458</v>
      </c>
      <c r="AA629" s="1479"/>
      <c r="AB629" s="1480"/>
      <c r="AC629" s="1446">
        <v>3</v>
      </c>
      <c r="AD629" s="1447"/>
      <c r="AE629" s="1448"/>
      <c r="AF629" s="1475"/>
      <c r="AG629" s="1476"/>
      <c r="AH629" s="1476"/>
      <c r="AI629" s="1476"/>
      <c r="AJ629" s="1477"/>
      <c r="AK629" s="1428"/>
      <c r="AL629" s="1429"/>
      <c r="AM629" s="1429"/>
      <c r="AN629" s="1430"/>
      <c r="AO629" s="1466">
        <f>AM556</f>
        <v>17276908</v>
      </c>
      <c r="AP629" s="1467"/>
      <c r="AQ629" s="1467"/>
      <c r="AR629" s="1467"/>
      <c r="AS629" s="1468"/>
      <c r="AT629" s="1150" t="str">
        <f t="shared" ref="AT629:AT638" si="1">IF(AND(NOT(C628=""),C629="",NOT(C630="")),"!","")</f>
        <v/>
      </c>
      <c r="AU629" s="3"/>
      <c r="AZ629" s="3"/>
      <c r="BA629" s="3"/>
      <c r="BB629" s="3"/>
      <c r="BC629" s="3"/>
      <c r="BD629" s="3"/>
    </row>
    <row r="630" spans="2:157" ht="13" customHeight="1">
      <c r="B630" s="52" t="s">
        <v>582</v>
      </c>
      <c r="C630" s="1348" t="str">
        <f t="shared" ref="C630:C631" si="2">C557</f>
        <v>Sponsor loan HCD AHSC HRI grant</v>
      </c>
      <c r="D630" s="1348"/>
      <c r="E630" s="1348"/>
      <c r="F630" s="1348"/>
      <c r="G630" s="1348"/>
      <c r="H630" s="1348"/>
      <c r="I630" s="1348"/>
      <c r="J630" s="1348"/>
      <c r="K630" s="1348"/>
      <c r="L630" s="1348"/>
      <c r="M630" s="1618" t="s">
        <v>2120</v>
      </c>
      <c r="N630" s="1618"/>
      <c r="O630" s="1618"/>
      <c r="P630" s="1618"/>
      <c r="Q630" s="1425">
        <v>660</v>
      </c>
      <c r="R630" s="1426"/>
      <c r="S630" s="1427"/>
      <c r="T630" s="1425">
        <v>0</v>
      </c>
      <c r="U630" s="1426"/>
      <c r="V630" s="1427"/>
      <c r="W630" s="1438">
        <v>0</v>
      </c>
      <c r="X630" s="1439"/>
      <c r="Y630" s="1440"/>
      <c r="Z630" s="1478" t="s">
        <v>459</v>
      </c>
      <c r="AA630" s="1479"/>
      <c r="AB630" s="1480"/>
      <c r="AC630" s="1446">
        <v>4</v>
      </c>
      <c r="AD630" s="1447"/>
      <c r="AE630" s="1448"/>
      <c r="AF630" s="1475"/>
      <c r="AG630" s="1476"/>
      <c r="AH630" s="1476"/>
      <c r="AI630" s="1476"/>
      <c r="AJ630" s="1477"/>
      <c r="AK630" s="1428"/>
      <c r="AL630" s="1429"/>
      <c r="AM630" s="1429"/>
      <c r="AN630" s="1430"/>
      <c r="AO630" s="1466">
        <f>AM557</f>
        <v>3711802</v>
      </c>
      <c r="AP630" s="1467"/>
      <c r="AQ630" s="1467"/>
      <c r="AR630" s="1467"/>
      <c r="AS630" s="1468"/>
      <c r="AT630" s="1150" t="str">
        <f t="shared" si="1"/>
        <v/>
      </c>
      <c r="AU630" s="3"/>
      <c r="AZ630" s="3"/>
      <c r="BA630" s="3"/>
      <c r="BB630" s="3"/>
      <c r="BC630" s="3"/>
      <c r="BD630" s="3"/>
    </row>
    <row r="631" spans="2:157" ht="13" customHeight="1">
      <c r="B631" s="52" t="s">
        <v>764</v>
      </c>
      <c r="C631" s="1348" t="str">
        <f t="shared" si="2"/>
        <v>Sponsor loan DTSC grant</v>
      </c>
      <c r="D631" s="1348"/>
      <c r="E631" s="1348"/>
      <c r="F631" s="1348"/>
      <c r="G631" s="1348"/>
      <c r="H631" s="1348"/>
      <c r="I631" s="1348"/>
      <c r="J631" s="1348"/>
      <c r="K631" s="1348"/>
      <c r="L631" s="1348"/>
      <c r="M631" s="1618" t="s">
        <v>2120</v>
      </c>
      <c r="N631" s="1618"/>
      <c r="O631" s="1618"/>
      <c r="P631" s="1618"/>
      <c r="Q631" s="1425">
        <v>660</v>
      </c>
      <c r="R631" s="1426"/>
      <c r="S631" s="1427"/>
      <c r="T631" s="1425">
        <v>0</v>
      </c>
      <c r="U631" s="1426"/>
      <c r="V631" s="1427"/>
      <c r="W631" s="1438">
        <v>0</v>
      </c>
      <c r="X631" s="1439"/>
      <c r="Y631" s="1440"/>
      <c r="Z631" s="1478" t="s">
        <v>459</v>
      </c>
      <c r="AA631" s="1479"/>
      <c r="AB631" s="1480"/>
      <c r="AC631" s="1446">
        <v>4</v>
      </c>
      <c r="AD631" s="1447"/>
      <c r="AE631" s="1448"/>
      <c r="AF631" s="1475"/>
      <c r="AG631" s="1476"/>
      <c r="AH631" s="1476"/>
      <c r="AI631" s="1476"/>
      <c r="AJ631" s="1477"/>
      <c r="AK631" s="1428"/>
      <c r="AL631" s="1429"/>
      <c r="AM631" s="1429"/>
      <c r="AN631" s="1430"/>
      <c r="AO631" s="1466">
        <f>AM558</f>
        <v>450000</v>
      </c>
      <c r="AP631" s="1467"/>
      <c r="AQ631" s="1467"/>
      <c r="AR631" s="1467"/>
      <c r="AS631" s="1468"/>
      <c r="AT631" s="1150" t="str">
        <f t="shared" si="1"/>
        <v/>
      </c>
      <c r="AU631" s="3"/>
      <c r="AZ631" s="3"/>
      <c r="BA631" s="3"/>
      <c r="BB631" s="3"/>
      <c r="BC631" s="3"/>
      <c r="BD631" s="3"/>
    </row>
    <row r="632" spans="2:157" ht="13" customHeight="1">
      <c r="B632" s="52" t="s">
        <v>585</v>
      </c>
      <c r="C632" s="1348" t="s">
        <v>2706</v>
      </c>
      <c r="D632" s="1348"/>
      <c r="E632" s="1348"/>
      <c r="F632" s="1348"/>
      <c r="G632" s="1348"/>
      <c r="H632" s="1348"/>
      <c r="I632" s="1348"/>
      <c r="J632" s="1348"/>
      <c r="K632" s="1348"/>
      <c r="L632" s="1348"/>
      <c r="M632" s="1618" t="s">
        <v>2112</v>
      </c>
      <c r="N632" s="1618"/>
      <c r="O632" s="1618"/>
      <c r="P632" s="1618"/>
      <c r="Q632" s="1425"/>
      <c r="R632" s="1426"/>
      <c r="S632" s="1427"/>
      <c r="T632" s="1425"/>
      <c r="U632" s="1426"/>
      <c r="V632" s="1427"/>
      <c r="W632" s="1438"/>
      <c r="X632" s="1439"/>
      <c r="Y632" s="1440"/>
      <c r="Z632" s="1478" t="s">
        <v>459</v>
      </c>
      <c r="AA632" s="1479"/>
      <c r="AB632" s="1480"/>
      <c r="AC632" s="1446"/>
      <c r="AD632" s="1447"/>
      <c r="AE632" s="1448"/>
      <c r="AF632" s="1475"/>
      <c r="AG632" s="1476"/>
      <c r="AH632" s="1476"/>
      <c r="AI632" s="1476"/>
      <c r="AJ632" s="1477"/>
      <c r="AK632" s="1428"/>
      <c r="AL632" s="1429"/>
      <c r="AM632" s="1429"/>
      <c r="AN632" s="1430"/>
      <c r="AO632" s="1466">
        <f>AM559</f>
        <v>100</v>
      </c>
      <c r="AP632" s="1467"/>
      <c r="AQ632" s="1467"/>
      <c r="AR632" s="1467"/>
      <c r="AS632" s="1468"/>
      <c r="AT632" s="1150" t="str">
        <f t="shared" si="1"/>
        <v/>
      </c>
      <c r="AU632" s="3"/>
      <c r="AZ632" s="3"/>
      <c r="BA632" s="3"/>
      <c r="BB632" s="3"/>
      <c r="BC632" s="3"/>
      <c r="BD632" s="3"/>
    </row>
    <row r="633" spans="2:157" ht="13" customHeight="1">
      <c r="B633" s="52" t="s">
        <v>456</v>
      </c>
      <c r="C633" s="1348" t="s">
        <v>2732</v>
      </c>
      <c r="D633" s="1348"/>
      <c r="E633" s="1348"/>
      <c r="F633" s="1348"/>
      <c r="G633" s="1348"/>
      <c r="H633" s="1348"/>
      <c r="I633" s="1348"/>
      <c r="J633" s="1348"/>
      <c r="K633" s="1348"/>
      <c r="L633" s="1348"/>
      <c r="M633" s="1618" t="s">
        <v>2109</v>
      </c>
      <c r="N633" s="1618"/>
      <c r="O633" s="1618"/>
      <c r="P633" s="1618"/>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f>[1]EVERYTHING!$E$15</f>
        <v>1300000</v>
      </c>
      <c r="AP633" s="1467"/>
      <c r="AQ633" s="1467"/>
      <c r="AR633" s="1467"/>
      <c r="AS633" s="1468"/>
      <c r="AT633" s="1150" t="str">
        <f t="shared" si="1"/>
        <v/>
      </c>
      <c r="AU633" s="3"/>
      <c r="AV633" s="3"/>
      <c r="AW633" s="3"/>
      <c r="AX633" s="3"/>
      <c r="AY633" s="3"/>
      <c r="AZ633" s="3"/>
      <c r="BA633" s="3"/>
      <c r="BB633" s="3"/>
      <c r="BC633" s="3"/>
      <c r="BD633" s="3"/>
    </row>
    <row r="634" spans="2:157" ht="13"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1"/>
        <v/>
      </c>
      <c r="AU634" s="3"/>
      <c r="AV634" s="3"/>
      <c r="AW634" s="3"/>
      <c r="AX634" s="3"/>
      <c r="AY634" s="3"/>
      <c r="AZ634" s="3"/>
      <c r="BA634" s="3" t="s">
        <v>1185</v>
      </c>
      <c r="BB634" s="3"/>
      <c r="BC634" s="3"/>
      <c r="BD634" s="3"/>
    </row>
    <row r="635" spans="2:157" ht="13"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3">EZ718*(CP718/$CP$753)</f>
        <v>108.66666666666666</v>
      </c>
      <c r="DY635" s="1445"/>
      <c r="DZ635" s="1445"/>
      <c r="EA635" s="1445"/>
      <c r="EB635" s="1445"/>
      <c r="EC635" s="1445" t="e">
        <f t="shared" ref="EC635:EC669" si="4">FE718*(CU718/$CU$753)</f>
        <v>#VALUE!</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3"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3"/>
        <v>274.80555555555554</v>
      </c>
      <c r="DY636" s="1445"/>
      <c r="DZ636" s="1445"/>
      <c r="EA636" s="1445"/>
      <c r="EB636" s="1445"/>
      <c r="EC636" s="1445" t="e">
        <f t="shared" si="4"/>
        <v>#VALUE!</v>
      </c>
      <c r="ED636" s="1445"/>
      <c r="EE636" s="1445"/>
      <c r="EF636" s="1445"/>
      <c r="EG636" s="1445"/>
      <c r="EH636" s="1445" t="e">
        <f t="shared" si="5"/>
        <v>#VALUE!</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3"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5">
        <f t="shared" si="3"/>
        <v>435.33333333333331</v>
      </c>
      <c r="DY637" s="1445"/>
      <c r="DZ637" s="1445"/>
      <c r="EA637" s="1445"/>
      <c r="EB637" s="1445"/>
      <c r="EC637" s="1445" t="e">
        <f t="shared" si="4"/>
        <v>#VALUE!</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3"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f t="shared" si="3"/>
        <v>131.58333333333331</v>
      </c>
      <c r="DY638" s="1445"/>
      <c r="DZ638" s="1445"/>
      <c r="EA638" s="1445"/>
      <c r="EB638" s="1445"/>
      <c r="EC638" s="1445" t="e">
        <f t="shared" si="4"/>
        <v>#VALUE!</v>
      </c>
      <c r="ED638" s="1445"/>
      <c r="EE638" s="1445"/>
      <c r="EF638" s="1445"/>
      <c r="EG638" s="1445"/>
      <c r="EH638" s="1445" t="e">
        <f t="shared" si="5"/>
        <v>#VALUE!</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58130008</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f t="shared" si="4"/>
        <v>11.681818181818182</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3"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ROUND([1]EVERYTHING!$D$18-[1]EVERYTHING!$D$112,0)</f>
        <v>42273326</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f t="shared" si="4"/>
        <v>146.54545454545456</v>
      </c>
      <c r="ED640" s="1445"/>
      <c r="EE640" s="1445"/>
      <c r="EF640" s="1445"/>
      <c r="EG640" s="1445"/>
      <c r="EH640" s="1445" t="e">
        <f t="shared" si="5"/>
        <v>#VALUE!</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3"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100403334</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f t="shared" si="4"/>
        <v>726.59090909090901</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f t="shared" si="4"/>
        <v>420.5</v>
      </c>
      <c r="ED642" s="1445"/>
      <c r="EE642" s="1445"/>
      <c r="EF642" s="1445"/>
      <c r="EG642" s="1445"/>
      <c r="EH642" s="1445" t="e">
        <f t="shared" si="5"/>
        <v>#VALUE!</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3" customHeight="1">
      <c r="A643" s="55" t="s">
        <v>112</v>
      </c>
      <c r="B643" t="s">
        <v>464</v>
      </c>
      <c r="G643" s="1359" t="str">
        <f>C627</f>
        <v>Chase</v>
      </c>
      <c r="H643" s="1359"/>
      <c r="I643" s="1359"/>
      <c r="J643" s="1359"/>
      <c r="K643" s="1359"/>
      <c r="L643" s="1359"/>
      <c r="M643" s="1359"/>
      <c r="N643" s="1359"/>
      <c r="O643" s="1359"/>
      <c r="P643" s="1359"/>
      <c r="Q643" s="1359"/>
      <c r="R643" s="1359"/>
      <c r="S643" s="8"/>
      <c r="T643" s="55" t="s">
        <v>113</v>
      </c>
      <c r="U643" t="s">
        <v>464</v>
      </c>
      <c r="Z643" s="1359" t="str">
        <f>C628</f>
        <v>HCD - AHSC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f t="shared" si="4"/>
        <v>51.5</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3" customHeight="1">
      <c r="A644" s="22"/>
      <c r="B644" t="s">
        <v>85</v>
      </c>
      <c r="G644" s="1372" t="str">
        <f>G569</f>
        <v>560 Mission Street, 4th Floor</v>
      </c>
      <c r="H644" s="1372"/>
      <c r="I644" s="1372"/>
      <c r="J644" s="1372"/>
      <c r="K644" s="1372"/>
      <c r="L644" s="1372"/>
      <c r="M644" s="1372"/>
      <c r="N644" s="1372"/>
      <c r="O644" s="1372"/>
      <c r="P644" s="1372"/>
      <c r="Q644" s="1372"/>
      <c r="R644" s="1372"/>
      <c r="S644" s="8"/>
      <c r="T644" s="22"/>
      <c r="U644" t="s">
        <v>85</v>
      </c>
      <c r="Z644" s="1372" t="s">
        <v>2718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f t="shared" si="5"/>
        <v>107.22222222222221</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3" customHeight="1">
      <c r="A645" s="22"/>
      <c r="B645" t="s">
        <v>581</v>
      </c>
      <c r="G645" s="1372" t="str">
        <f>G570</f>
        <v>San Francisco</v>
      </c>
      <c r="H645" s="1372"/>
      <c r="I645" s="1372"/>
      <c r="J645" s="1372"/>
      <c r="K645" s="1372"/>
      <c r="L645" s="1372"/>
      <c r="M645" s="1372"/>
      <c r="N645" s="1372"/>
      <c r="O645" s="1372"/>
      <c r="P645" s="1372"/>
      <c r="Q645" s="1372"/>
      <c r="R645" s="1372"/>
      <c r="T645" s="22"/>
      <c r="U645" t="s">
        <v>581</v>
      </c>
      <c r="Z645" s="1349" t="s">
        <v>68</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f t="shared" si="5"/>
        <v>802.14814814814815</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3" customHeight="1">
      <c r="A646" s="22"/>
      <c r="B646" t="s">
        <v>17</v>
      </c>
      <c r="G646" s="1372" t="str">
        <f>G571</f>
        <v>James Vossoughi</v>
      </c>
      <c r="H646" s="1372"/>
      <c r="I646" s="1372"/>
      <c r="J646" s="1372"/>
      <c r="K646" s="1372"/>
      <c r="L646" s="1372"/>
      <c r="M646" s="1372"/>
      <c r="N646" s="1372"/>
      <c r="O646" s="1372"/>
      <c r="P646" s="1372"/>
      <c r="Q646" s="1372"/>
      <c r="R646" s="1372"/>
      <c r="S646" s="8"/>
      <c r="T646" s="22"/>
      <c r="U646" t="s">
        <v>17</v>
      </c>
      <c r="Z646" s="1349" t="s">
        <v>2719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f t="shared" si="5"/>
        <v>672.33333333333326</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3" customHeight="1">
      <c r="A647" s="22"/>
      <c r="B647" t="s">
        <v>316</v>
      </c>
      <c r="G647" s="1347" t="str">
        <f>G572</f>
        <v>(415) 315-6708</v>
      </c>
      <c r="H647" s="1347"/>
      <c r="I647" s="1347"/>
      <c r="J647" s="1347"/>
      <c r="K647" s="1347"/>
      <c r="L647" s="1347"/>
      <c r="O647" s="33" t="s">
        <v>206</v>
      </c>
      <c r="P647" s="1437"/>
      <c r="Q647" s="1437"/>
      <c r="R647" s="1437"/>
      <c r="S647" s="10"/>
      <c r="T647" s="22"/>
      <c r="U647" t="s">
        <v>316</v>
      </c>
      <c r="Z647" s="1347" t="s">
        <v>2720</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f t="shared" si="5"/>
        <v>201.33333333333331</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3" customHeight="1">
      <c r="A648" s="22"/>
      <c r="B648" t="s">
        <v>18</v>
      </c>
      <c r="H648" s="1372" t="s">
        <v>2733</v>
      </c>
      <c r="I648" s="1372"/>
      <c r="J648" s="1372"/>
      <c r="K648" s="1372"/>
      <c r="L648" s="1372"/>
      <c r="M648" s="1372"/>
      <c r="N648" s="1372"/>
      <c r="O648" s="1372"/>
      <c r="P648" s="1372"/>
      <c r="Q648" s="1372"/>
      <c r="R648" s="1372"/>
      <c r="S648" s="8"/>
      <c r="T648" s="22"/>
      <c r="U648" t="s">
        <v>18</v>
      </c>
      <c r="AA648" s="1372" t="s">
        <v>2734</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f t="shared" si="6"/>
        <v>111</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3"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f t="shared" si="6"/>
        <v>1056</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3"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f t="shared" si="6"/>
        <v>465</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3" customHeight="1">
      <c r="A651" s="55" t="s">
        <v>119</v>
      </c>
      <c r="B651" t="s">
        <v>464</v>
      </c>
      <c r="G651" s="1359" t="str">
        <f>C629</f>
        <v>City of Fremont</v>
      </c>
      <c r="H651" s="1359"/>
      <c r="I651" s="1359"/>
      <c r="J651" s="1359"/>
      <c r="K651" s="1359"/>
      <c r="L651" s="1359"/>
      <c r="M651" s="1359"/>
      <c r="N651" s="1359"/>
      <c r="O651" s="1359"/>
      <c r="P651" s="1359"/>
      <c r="Q651" s="1359"/>
      <c r="R651" s="1359"/>
      <c r="T651" s="55" t="s">
        <v>582</v>
      </c>
      <c r="U651" t="s">
        <v>464</v>
      </c>
      <c r="Z651" s="1359" t="str">
        <f>C630</f>
        <v>Sponsor loan HCD AHSC HRI grant</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f t="shared" si="6"/>
        <v>470.25</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3" customHeight="1">
      <c r="A652" s="22"/>
      <c r="B652" t="s">
        <v>85</v>
      </c>
      <c r="G652" s="1372" t="str">
        <f>G578</f>
        <v>39550 Liberty St.</v>
      </c>
      <c r="H652" s="1372"/>
      <c r="I652" s="1372"/>
      <c r="J652" s="1372"/>
      <c r="K652" s="1372"/>
      <c r="L652" s="1372"/>
      <c r="M652" s="1372"/>
      <c r="N652" s="1372"/>
      <c r="O652" s="1372"/>
      <c r="P652" s="1372"/>
      <c r="Q652" s="1372"/>
      <c r="R652" s="1372"/>
      <c r="T652" s="22"/>
      <c r="U652" t="s">
        <v>85</v>
      </c>
      <c r="Z652" s="1372" t="s">
        <v>2718</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3" customHeight="1">
      <c r="A653" s="22"/>
      <c r="B653" t="s">
        <v>581</v>
      </c>
      <c r="G653" s="1349" t="str">
        <f>G579</f>
        <v>Fremont</v>
      </c>
      <c r="H653" s="1349"/>
      <c r="I653" s="1349"/>
      <c r="J653" s="1349"/>
      <c r="K653" s="1349"/>
      <c r="L653" s="1349"/>
      <c r="M653" s="1349"/>
      <c r="N653" s="1349"/>
      <c r="O653" s="1349"/>
      <c r="P653" s="1349"/>
      <c r="Q653" s="1349"/>
      <c r="R653" s="1349"/>
      <c r="T653" s="22"/>
      <c r="U653" t="s">
        <v>581</v>
      </c>
      <c r="Z653" s="1349" t="s">
        <v>68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3" customHeight="1">
      <c r="A654" s="22"/>
      <c r="B654" t="s">
        <v>17</v>
      </c>
      <c r="G654" s="1349" t="str">
        <f>G580</f>
        <v>Lucia Hughes</v>
      </c>
      <c r="H654" s="1349"/>
      <c r="I654" s="1349"/>
      <c r="J654" s="1349"/>
      <c r="K654" s="1349"/>
      <c r="L654" s="1349"/>
      <c r="M654" s="1349"/>
      <c r="N654" s="1349"/>
      <c r="O654" s="1349"/>
      <c r="P654" s="1349"/>
      <c r="Q654" s="1349"/>
      <c r="R654" s="1349"/>
      <c r="T654" s="22"/>
      <c r="U654" t="s">
        <v>17</v>
      </c>
      <c r="Z654" s="1349" t="s">
        <v>2719</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3" customHeight="1">
      <c r="A655" s="22"/>
      <c r="B655" t="s">
        <v>316</v>
      </c>
      <c r="G655" s="1347" t="str">
        <f>G581</f>
        <v xml:space="preserve">(510) 494-4506
 | </v>
      </c>
      <c r="H655" s="1347"/>
      <c r="I655" s="1347"/>
      <c r="J655" s="1347"/>
      <c r="K655" s="1347"/>
      <c r="L655" s="1347"/>
      <c r="O655" s="33" t="s">
        <v>206</v>
      </c>
      <c r="P655" s="1437"/>
      <c r="Q655" s="1437"/>
      <c r="R655" s="1437"/>
      <c r="T655" s="22"/>
      <c r="U655" t="s">
        <v>316</v>
      </c>
      <c r="Z655" s="1347" t="s">
        <v>2720</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3" customHeight="1">
      <c r="A656" s="22"/>
      <c r="B656" t="s">
        <v>18</v>
      </c>
      <c r="H656" s="1372" t="s">
        <v>2735</v>
      </c>
      <c r="I656" s="1372"/>
      <c r="J656" s="1372"/>
      <c r="K656" s="1372"/>
      <c r="L656" s="1372"/>
      <c r="M656" s="1372"/>
      <c r="N656" s="1372"/>
      <c r="O656" s="1372"/>
      <c r="P656" s="1372"/>
      <c r="Q656" s="1372"/>
      <c r="R656" s="1372"/>
      <c r="T656" s="22"/>
      <c r="U656" t="s">
        <v>18</v>
      </c>
      <c r="AA656" s="1372" t="s">
        <v>2721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3" customHeight="1">
      <c r="A657" s="22"/>
      <c r="B657" t="s">
        <v>20</v>
      </c>
      <c r="N657" s="1333" t="s">
        <v>670</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3"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3" customHeight="1">
      <c r="A659" s="55" t="s">
        <v>764</v>
      </c>
      <c r="B659" t="s">
        <v>464</v>
      </c>
      <c r="G659" s="1359" t="str">
        <f>C631</f>
        <v>Sponsor loan DTSC grant</v>
      </c>
      <c r="H659" s="1359"/>
      <c r="I659" s="1359"/>
      <c r="J659" s="1359"/>
      <c r="K659" s="1359"/>
      <c r="L659" s="1359"/>
      <c r="M659" s="1359"/>
      <c r="N659" s="1359"/>
      <c r="O659" s="1359"/>
      <c r="P659" s="1359"/>
      <c r="Q659" s="1359"/>
      <c r="R659" s="1359"/>
      <c r="T659" s="55" t="s">
        <v>585</v>
      </c>
      <c r="U659" t="s">
        <v>464</v>
      </c>
      <c r="Z659" s="1359" t="str">
        <f>C632</f>
        <v>GP equity</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3" customHeight="1">
      <c r="A660" s="22"/>
      <c r="B660" t="s">
        <v>85</v>
      </c>
      <c r="G660" s="1372" t="str">
        <f>G586</f>
        <v>5796 Corporate Avenue</v>
      </c>
      <c r="H660" s="1372"/>
      <c r="I660" s="1372"/>
      <c r="J660" s="1372"/>
      <c r="K660" s="1372"/>
      <c r="L660" s="1372"/>
      <c r="M660" s="1372"/>
      <c r="N660" s="1372"/>
      <c r="O660" s="1372"/>
      <c r="P660" s="1372"/>
      <c r="Q660" s="1372"/>
      <c r="R660" s="1372"/>
      <c r="T660" s="22"/>
      <c r="U660" t="s">
        <v>85</v>
      </c>
      <c r="Z660" s="1372" t="s">
        <v>2628</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3" customHeight="1">
      <c r="A661" s="22"/>
      <c r="B661" t="s">
        <v>581</v>
      </c>
      <c r="G661" s="1372" t="str">
        <f>G587</f>
        <v>Cypress</v>
      </c>
      <c r="H661" s="1372"/>
      <c r="I661" s="1372"/>
      <c r="J661" s="1372"/>
      <c r="K661" s="1372"/>
      <c r="L661" s="1372"/>
      <c r="M661" s="1372"/>
      <c r="N661" s="1372"/>
      <c r="O661" s="1372"/>
      <c r="P661" s="1372"/>
      <c r="Q661" s="1372"/>
      <c r="R661" s="1372"/>
      <c r="T661" s="22"/>
      <c r="U661" t="s">
        <v>581</v>
      </c>
      <c r="Z661" s="1349" t="s">
        <v>2630</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3" customHeight="1">
      <c r="A662" s="22"/>
      <c r="B662" t="s">
        <v>17</v>
      </c>
      <c r="G662" s="1372" t="str">
        <f>G588</f>
        <v>Rana Georges</v>
      </c>
      <c r="H662" s="1372"/>
      <c r="I662" s="1372"/>
      <c r="J662" s="1372"/>
      <c r="K662" s="1372"/>
      <c r="L662" s="1372"/>
      <c r="M662" s="1372"/>
      <c r="N662" s="1372"/>
      <c r="O662" s="1372"/>
      <c r="P662" s="1372"/>
      <c r="Q662" s="1372"/>
      <c r="R662" s="1372"/>
      <c r="T662" s="22"/>
      <c r="U662" t="s">
        <v>17</v>
      </c>
      <c r="Z662" s="1349" t="s">
        <v>2725</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3" customHeight="1">
      <c r="A663" s="22"/>
      <c r="B663" t="s">
        <v>316</v>
      </c>
      <c r="G663" s="1347" t="str">
        <f>G589</f>
        <v>(714) 484-5450</v>
      </c>
      <c r="H663" s="1347"/>
      <c r="I663" s="1347"/>
      <c r="J663" s="1347"/>
      <c r="K663" s="1347"/>
      <c r="L663" s="1347"/>
      <c r="O663" s="33" t="s">
        <v>206</v>
      </c>
      <c r="P663" s="1437"/>
      <c r="Q663" s="1437"/>
      <c r="R663" s="1437"/>
      <c r="T663" s="22"/>
      <c r="U663" t="s">
        <v>316</v>
      </c>
      <c r="Z663" s="1347">
        <v>5108414410</v>
      </c>
      <c r="AA663" s="1347"/>
      <c r="AB663" s="1347"/>
      <c r="AC663" s="1347"/>
      <c r="AD663" s="1347"/>
      <c r="AE663" s="1347"/>
      <c r="AH663" s="33" t="s">
        <v>206</v>
      </c>
      <c r="AI663" s="1437">
        <v>315</v>
      </c>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3" customHeight="1">
      <c r="A664" s="22"/>
      <c r="B664" t="s">
        <v>18</v>
      </c>
      <c r="H664" s="1372" t="str">
        <f>H590</f>
        <v>Sponsor loan of grant funds</v>
      </c>
      <c r="I664" s="1372"/>
      <c r="J664" s="1372"/>
      <c r="K664" s="1372"/>
      <c r="L664" s="1372"/>
      <c r="M664" s="1372"/>
      <c r="N664" s="1372"/>
      <c r="O664" s="1372"/>
      <c r="P664" s="1372"/>
      <c r="Q664" s="1372"/>
      <c r="R664" s="1372"/>
      <c r="T664" s="22"/>
      <c r="U664" t="s">
        <v>18</v>
      </c>
      <c r="AA664" s="1372" t="s">
        <v>2706</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3"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3" customHeight="1">
      <c r="A667" s="55" t="s">
        <v>456</v>
      </c>
      <c r="B667" t="s">
        <v>464</v>
      </c>
      <c r="G667" s="1359" t="str">
        <f>C633</f>
        <v>Deferred developer fee</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3" customHeight="1">
      <c r="A668" s="22"/>
      <c r="B668" t="s">
        <v>85</v>
      </c>
      <c r="G668" s="1372" t="s">
        <v>2628</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3" customHeight="1">
      <c r="A669" s="22"/>
      <c r="B669" t="s">
        <v>581</v>
      </c>
      <c r="G669" s="1372" t="s">
        <v>2630</v>
      </c>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3" customHeight="1">
      <c r="A670" s="22"/>
      <c r="B670" t="s">
        <v>17</v>
      </c>
      <c r="G670" s="1372" t="s">
        <v>2725</v>
      </c>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950.38888888888869</v>
      </c>
      <c r="DY670" s="1445"/>
      <c r="DZ670" s="1445"/>
      <c r="EA670" s="1445"/>
      <c r="EB670" s="1445"/>
      <c r="EC670" s="1445">
        <f>SUMIF(EC635:EG669,"&gt;0")</f>
        <v>1356.8181818181818</v>
      </c>
      <c r="ED670" s="1445"/>
      <c r="EE670" s="1445"/>
      <c r="EF670" s="1445"/>
      <c r="EG670" s="1445"/>
      <c r="EH670" s="1445">
        <f>SUMIF(EH635:EL669,"&gt;0")</f>
        <v>1783.0370370370367</v>
      </c>
      <c r="EI670" s="1445"/>
      <c r="EJ670" s="1445"/>
      <c r="EK670" s="1445"/>
      <c r="EL670" s="1445"/>
      <c r="EM670" s="1445">
        <f>SUMIF(EM635:EQ669,"&gt;0")</f>
        <v>2102.25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c r="A671" s="22"/>
      <c r="B671" t="s">
        <v>316</v>
      </c>
      <c r="G671" s="1347">
        <v>5108414410</v>
      </c>
      <c r="H671" s="1347"/>
      <c r="I671" s="1347"/>
      <c r="J671" s="1347"/>
      <c r="K671" s="1347"/>
      <c r="L671" s="1347"/>
      <c r="O671" s="33" t="s">
        <v>206</v>
      </c>
      <c r="P671" s="1437">
        <v>315</v>
      </c>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t="s">
        <v>2736</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546</v>
      </c>
      <c r="O673" s="1333"/>
      <c r="T673" s="22"/>
      <c r="U673" t="s">
        <v>20</v>
      </c>
      <c r="AG673" s="1333" t="s">
        <v>670</v>
      </c>
      <c r="AH673" s="1333"/>
      <c r="AZ673" s="3"/>
    </row>
    <row r="674" spans="1:52" ht="13" customHeight="1">
      <c r="A674" s="22"/>
      <c r="T674" s="22"/>
      <c r="AZ674" s="3"/>
    </row>
    <row r="675" spans="1:52" ht="13"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3" t="s">
        <v>670</v>
      </c>
      <c r="O681" s="1333"/>
      <c r="T681" s="22"/>
      <c r="U681" t="s">
        <v>20</v>
      </c>
      <c r="AG681" s="1333" t="s">
        <v>670</v>
      </c>
      <c r="AH681" s="1333"/>
      <c r="AZ681" s="3"/>
    </row>
    <row r="682" spans="1:52" ht="13" customHeight="1">
      <c r="A682" s="22"/>
      <c r="T682" s="22"/>
      <c r="AZ682" s="3"/>
    </row>
    <row r="683" spans="1:52" ht="13"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3" t="s">
        <v>670</v>
      </c>
      <c r="O689" s="1333"/>
      <c r="U689" t="s">
        <v>20</v>
      </c>
      <c r="AG689" s="1333" t="s">
        <v>670</v>
      </c>
      <c r="AH689" s="1333"/>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546</v>
      </c>
      <c r="AF693" s="1333"/>
      <c r="AZ693" s="3"/>
    </row>
    <row r="694" spans="1:67" ht="13" customHeight="1">
      <c r="B694" s="135"/>
      <c r="C694" s="135"/>
      <c r="D694" s="136" t="s">
        <v>438</v>
      </c>
      <c r="E694" s="135"/>
      <c r="F694" s="135"/>
      <c r="G694" s="135"/>
      <c r="H694" s="135"/>
      <c r="AE694" s="1333" t="s">
        <v>670</v>
      </c>
      <c r="AF694" s="1333"/>
      <c r="AZ694" s="3"/>
    </row>
    <row r="695" spans="1:67" ht="13" customHeight="1">
      <c r="B695" s="135"/>
      <c r="C695" s="135"/>
      <c r="D695" s="136" t="s">
        <v>921</v>
      </c>
      <c r="E695" s="135"/>
      <c r="F695" s="135"/>
      <c r="G695" s="135"/>
      <c r="H695" s="135"/>
      <c r="AE695" s="1682">
        <v>45685</v>
      </c>
      <c r="AF695" s="1682"/>
      <c r="AG695" s="1682"/>
      <c r="AH695" s="1682"/>
      <c r="AI695" s="1682"/>
    </row>
    <row r="696" spans="1:67" ht="13" customHeight="1">
      <c r="B696" s="135"/>
      <c r="C696" s="135"/>
      <c r="D696" s="318" t="s">
        <v>984</v>
      </c>
      <c r="E696" s="135"/>
      <c r="F696" s="135"/>
      <c r="G696" s="135"/>
      <c r="H696" s="135"/>
      <c r="AE696" s="1702">
        <v>45755</v>
      </c>
      <c r="AF696" s="1702"/>
      <c r="AG696" s="1702"/>
      <c r="AH696" s="1702"/>
      <c r="AI696" s="1702"/>
    </row>
    <row r="697" spans="1:67" ht="13" customHeight="1">
      <c r="B697" s="135"/>
      <c r="C697" s="135"/>
    </row>
    <row r="698" spans="1:67" ht="13" customHeight="1">
      <c r="B698" s="135"/>
      <c r="C698" s="135"/>
      <c r="D698" s="136" t="s">
        <v>817</v>
      </c>
      <c r="E698" s="135"/>
      <c r="F698" s="135"/>
      <c r="G698" s="135"/>
      <c r="H698" s="135"/>
      <c r="AE698" s="1682">
        <v>45901</v>
      </c>
      <c r="AF698" s="1682"/>
      <c r="AG698" s="1682"/>
      <c r="AH698" s="1682"/>
      <c r="AI698" s="1682"/>
    </row>
    <row r="699" spans="1:67" ht="13" customHeight="1">
      <c r="B699" s="135"/>
      <c r="C699" s="135"/>
      <c r="D699" s="136" t="s">
        <v>436</v>
      </c>
      <c r="E699" s="135"/>
      <c r="F699" s="135"/>
      <c r="G699" s="135"/>
      <c r="H699" s="135"/>
      <c r="AE699" s="1661">
        <f>[1]EVERYTHING!$J$25</f>
        <v>0.54500000000000004</v>
      </c>
      <c r="AF699" s="1661"/>
      <c r="AG699" s="1661"/>
      <c r="AH699" s="1661"/>
      <c r="AI699" s="1661"/>
    </row>
    <row r="700" spans="1:67" ht="13"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670</v>
      </c>
      <c r="AF702" s="1333"/>
      <c r="AZ702" s="4" t="s">
        <v>324</v>
      </c>
    </row>
    <row r="703" spans="1:67" ht="13"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59" t="s">
        <v>1951</v>
      </c>
      <c r="U714" s="1364"/>
      <c r="V714" s="1364"/>
      <c r="W714" s="1365"/>
      <c r="X714" s="1659" t="s">
        <v>1953</v>
      </c>
      <c r="Y714" s="1364"/>
      <c r="Z714" s="1364"/>
      <c r="AA714" s="1364"/>
      <c r="AB714" s="1365"/>
      <c r="AC714" s="1659" t="s">
        <v>1952</v>
      </c>
      <c r="AD714" s="1364"/>
      <c r="AE714" s="1364"/>
      <c r="AF714" s="1364"/>
      <c r="AG714" s="1365"/>
      <c r="AH714" s="1659" t="s">
        <v>1954</v>
      </c>
      <c r="AI714" s="1364"/>
      <c r="AJ714" s="1365"/>
      <c r="AK714" s="1659"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9"/>
      <c r="CJ717" s="1470"/>
      <c r="CK717" s="121" t="s">
        <v>476</v>
      </c>
      <c r="CL717" s="122"/>
      <c r="CM717" s="1469"/>
      <c r="CN717" s="1470"/>
      <c r="CO717" s="3"/>
      <c r="CP717" s="1387" t="s">
        <v>634</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3" customHeight="1">
      <c r="A718" s="4"/>
      <c r="B718" s="1338" t="s">
        <v>324</v>
      </c>
      <c r="C718" s="1339"/>
      <c r="D718" s="1339"/>
      <c r="E718" s="1339"/>
      <c r="F718" s="1340"/>
      <c r="G718" s="1350">
        <v>8</v>
      </c>
      <c r="H718" s="1351"/>
      <c r="I718" s="1351"/>
      <c r="J718" s="1352"/>
      <c r="K718" s="1344">
        <v>360</v>
      </c>
      <c r="L718" s="1345"/>
      <c r="M718" s="1345"/>
      <c r="N718" s="1346"/>
      <c r="O718" s="1341">
        <v>489</v>
      </c>
      <c r="P718" s="1342"/>
      <c r="Q718" s="1342"/>
      <c r="R718" s="1342"/>
      <c r="S718" s="1343"/>
      <c r="T718" s="1341">
        <v>56</v>
      </c>
      <c r="U718" s="1342"/>
      <c r="V718" s="1342"/>
      <c r="W718" s="1343"/>
      <c r="X718" s="1353">
        <f t="shared" ref="X718:X741" si="9">O718+T718</f>
        <v>545</v>
      </c>
      <c r="Y718" s="1354"/>
      <c r="Z718" s="1354"/>
      <c r="AA718" s="1354"/>
      <c r="AB718" s="1355"/>
      <c r="AC718" s="1360">
        <v>0.2</v>
      </c>
      <c r="AD718" s="1361"/>
      <c r="AE718" s="1361"/>
      <c r="AF718" s="1361"/>
      <c r="AG718" s="1362"/>
      <c r="AH718" s="1356">
        <f>IF($AC718&gt;0,($X718/$AZ718), "")</f>
        <v>0.20007342143906021</v>
      </c>
      <c r="AI718" s="1357"/>
      <c r="AJ718" s="1358"/>
      <c r="AK718" s="1338" t="s">
        <v>592</v>
      </c>
      <c r="AL718" s="1339"/>
      <c r="AM718" s="1339"/>
      <c r="AN718" s="1339"/>
      <c r="AO718" s="1340"/>
      <c r="AP718" s="3"/>
      <c r="AQ718" s="3"/>
      <c r="AR718" s="3"/>
      <c r="AS718" s="3"/>
      <c r="AZ718" s="118">
        <f>IF($G718=0,"N/A",VLOOKUP($T$189,TC_Rent,(MATCH($B718,bedrooms,FALSE)),FALSE))</f>
        <v>2724</v>
      </c>
      <c r="BA718" s="3"/>
      <c r="BB718" s="3"/>
      <c r="BC718" s="3"/>
      <c r="BD718" s="3"/>
      <c r="BE718" s="205"/>
      <c r="BF718" s="294">
        <f t="shared" ref="BF718:BF752" si="10">G718</f>
        <v>8</v>
      </c>
      <c r="BG718" s="298">
        <f t="shared" ref="BG718:BG752" si="11">IF($BF$753=0,0,BF718/$BF$753)</f>
        <v>6.2992125984251968E-2</v>
      </c>
      <c r="BH718" s="299">
        <f t="shared" ref="BH718:BH752" si="12">IF(BG718=0,"",BG718*AC718)</f>
        <v>1.2598425196850394E-2</v>
      </c>
      <c r="BI718" s="3"/>
      <c r="BJ718" s="3"/>
      <c r="BK718" s="3"/>
      <c r="BL718" s="3"/>
      <c r="BM718" s="3"/>
      <c r="BN718" s="3"/>
      <c r="BS718" s="294">
        <f t="shared" ref="BS718:BS752" si="13">G718</f>
        <v>8</v>
      </c>
      <c r="BT718" s="298">
        <f t="shared" ref="BT718:BT752" si="14">IF($BS$753=0,0,BS718/$BS$753)</f>
        <v>6.2992125984251968E-2</v>
      </c>
      <c r="BU718" s="299">
        <f t="shared" ref="BU718:BU752" si="15">IF(BT718=0,"",BT718*AH718)</f>
        <v>1.260305016938962E-2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8</v>
      </c>
      <c r="CN718" s="1470"/>
      <c r="CO718" s="3"/>
      <c r="CP718" s="1458">
        <f t="shared" ref="CP718:CP752" si="18">IF(B718="SRO/Studio",G718,0)</f>
        <v>8</v>
      </c>
      <c r="CQ718" s="1459"/>
      <c r="CR718" s="1459"/>
      <c r="CS718" s="1459"/>
      <c r="CT718" s="1460"/>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8</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f t="shared" ref="EZ718:EZ752" si="30">IF(CP718&gt;0,O718,"")</f>
        <v>489</v>
      </c>
      <c r="FA718" s="1465"/>
      <c r="FB718" s="1465"/>
      <c r="FC718" s="1465"/>
      <c r="FD718" s="1464"/>
      <c r="FE718" s="1463" t="str">
        <f t="shared" ref="FE718:FE752" si="31">IF(CU718&gt;0,O718,"")</f>
        <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3" customHeight="1">
      <c r="A719" s="4"/>
      <c r="B719" s="1338" t="s">
        <v>324</v>
      </c>
      <c r="C719" s="1339"/>
      <c r="D719" s="1339"/>
      <c r="E719" s="1339"/>
      <c r="F719" s="1340"/>
      <c r="G719" s="1350">
        <v>13</v>
      </c>
      <c r="H719" s="1351"/>
      <c r="I719" s="1351"/>
      <c r="J719" s="1352"/>
      <c r="K719" s="1344">
        <v>360</v>
      </c>
      <c r="L719" s="1345"/>
      <c r="M719" s="1345"/>
      <c r="N719" s="1346"/>
      <c r="O719" s="1341">
        <v>761</v>
      </c>
      <c r="P719" s="1342"/>
      <c r="Q719" s="1342"/>
      <c r="R719" s="1342"/>
      <c r="S719" s="1343"/>
      <c r="T719" s="1341">
        <v>56</v>
      </c>
      <c r="U719" s="1342"/>
      <c r="V719" s="1342"/>
      <c r="W719" s="1343"/>
      <c r="X719" s="1353">
        <f t="shared" si="9"/>
        <v>817</v>
      </c>
      <c r="Y719" s="1354"/>
      <c r="Z719" s="1354"/>
      <c r="AA719" s="1354"/>
      <c r="AB719" s="1355"/>
      <c r="AC719" s="1360">
        <v>0.3</v>
      </c>
      <c r="AD719" s="1361"/>
      <c r="AE719" s="1361"/>
      <c r="AF719" s="1361"/>
      <c r="AG719" s="1362"/>
      <c r="AH719" s="1356">
        <f t="shared" ref="AH719:AH752" si="36">IF($AC719&gt;0,($X719/$AZ719), "")</f>
        <v>0.29992657856093979</v>
      </c>
      <c r="AI719" s="1357"/>
      <c r="AJ719" s="1358"/>
      <c r="AK719" s="1338" t="s">
        <v>592</v>
      </c>
      <c r="AL719" s="1339"/>
      <c r="AM719" s="1339"/>
      <c r="AN719" s="1339"/>
      <c r="AO719" s="1340"/>
      <c r="AP719" s="3"/>
      <c r="AQ719" s="3"/>
      <c r="AR719" s="3"/>
      <c r="AS719" s="3"/>
      <c r="AZ719" s="118">
        <f>IF($G719=0,"N/A",VLOOKUP($T$189,TC_Rent,(MATCH($B719,bedrooms,FALSE)),FALSE))</f>
        <v>2724</v>
      </c>
      <c r="BA719" s="3"/>
      <c r="BB719" s="3"/>
      <c r="BC719" s="3"/>
      <c r="BD719" s="3"/>
      <c r="BE719" s="205"/>
      <c r="BF719" s="295">
        <f t="shared" si="10"/>
        <v>13</v>
      </c>
      <c r="BG719" s="298">
        <f t="shared" si="11"/>
        <v>0.10236220472440945</v>
      </c>
      <c r="BH719" s="299">
        <f t="shared" si="12"/>
        <v>3.0708661417322834E-2</v>
      </c>
      <c r="BI719" s="3"/>
      <c r="BJ719" s="3"/>
      <c r="BK719" s="3"/>
      <c r="BL719" s="3"/>
      <c r="BM719" s="3"/>
      <c r="BN719" s="3"/>
      <c r="BS719" s="295">
        <f t="shared" si="13"/>
        <v>13</v>
      </c>
      <c r="BT719" s="298">
        <f t="shared" si="14"/>
        <v>0.10236220472440945</v>
      </c>
      <c r="BU719" s="299">
        <f t="shared" si="15"/>
        <v>3.0701145836946591E-2</v>
      </c>
      <c r="CC719" s="3"/>
      <c r="CD719" s="3"/>
      <c r="CE719" s="3"/>
      <c r="CF719" s="3"/>
      <c r="CG719" s="1463">
        <f t="shared" ref="CG719:CG752" si="37">IF(AND(AC719&lt;=0.5,AC719&gt;=0.36),1,0)</f>
        <v>0</v>
      </c>
      <c r="CH719" s="1464"/>
      <c r="CI719" s="1469">
        <f t="shared" ref="CI719:CI752" si="38">IF(CG719=1,G719,0)</f>
        <v>0</v>
      </c>
      <c r="CJ719" s="1470"/>
      <c r="CK719" s="1463">
        <f t="shared" si="16"/>
        <v>1</v>
      </c>
      <c r="CL719" s="1464"/>
      <c r="CM719" s="1469">
        <f t="shared" si="17"/>
        <v>13</v>
      </c>
      <c r="CN719" s="1470"/>
      <c r="CO719" s="3"/>
      <c r="CP719" s="1458">
        <f t="shared" si="18"/>
        <v>13</v>
      </c>
      <c r="CQ719" s="1459"/>
      <c r="CR719" s="1459"/>
      <c r="CS719" s="1459"/>
      <c r="CT719" s="1460"/>
      <c r="CU719" s="1443">
        <f t="shared" si="19"/>
        <v>0</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13</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f t="shared" si="30"/>
        <v>761</v>
      </c>
      <c r="FA719" s="1465"/>
      <c r="FB719" s="1465"/>
      <c r="FC719" s="1465"/>
      <c r="FD719" s="1464"/>
      <c r="FE719" s="1463" t="str">
        <f t="shared" si="31"/>
        <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3" customHeight="1">
      <c r="A720" s="4"/>
      <c r="B720" s="1338" t="s">
        <v>324</v>
      </c>
      <c r="C720" s="1339"/>
      <c r="D720" s="1339"/>
      <c r="E720" s="1339"/>
      <c r="F720" s="1340"/>
      <c r="G720" s="1350">
        <v>12</v>
      </c>
      <c r="H720" s="1351"/>
      <c r="I720" s="1351"/>
      <c r="J720" s="1352"/>
      <c r="K720" s="1344">
        <v>360</v>
      </c>
      <c r="L720" s="1345"/>
      <c r="M720" s="1345"/>
      <c r="N720" s="1346"/>
      <c r="O720" s="1341">
        <v>1306</v>
      </c>
      <c r="P720" s="1342"/>
      <c r="Q720" s="1342"/>
      <c r="R720" s="1342"/>
      <c r="S720" s="1343"/>
      <c r="T720" s="1341">
        <v>56</v>
      </c>
      <c r="U720" s="1342"/>
      <c r="V720" s="1342"/>
      <c r="W720" s="1343"/>
      <c r="X720" s="1353">
        <f t="shared" si="9"/>
        <v>1362</v>
      </c>
      <c r="Y720" s="1354"/>
      <c r="Z720" s="1354"/>
      <c r="AA720" s="1354"/>
      <c r="AB720" s="1355"/>
      <c r="AC720" s="1360">
        <v>0.5</v>
      </c>
      <c r="AD720" s="1361"/>
      <c r="AE720" s="1361"/>
      <c r="AF720" s="1361"/>
      <c r="AG720" s="1362"/>
      <c r="AH720" s="1356">
        <f t="shared" si="36"/>
        <v>0.5</v>
      </c>
      <c r="AI720" s="1357"/>
      <c r="AJ720" s="1358"/>
      <c r="AK720" s="1338" t="s">
        <v>592</v>
      </c>
      <c r="AL720" s="1339"/>
      <c r="AM720" s="1339"/>
      <c r="AN720" s="1339"/>
      <c r="AO720" s="1340"/>
      <c r="AP720" s="3"/>
      <c r="AQ720" s="3"/>
      <c r="AR720" s="3"/>
      <c r="AS720" s="3"/>
      <c r="AZ720" s="118">
        <f>IF($G720=0,"N/A",VLOOKUP($T$189,TC_Rent,(MATCH($B720,bedrooms,FALSE)),FALSE))</f>
        <v>2724</v>
      </c>
      <c r="BA720" s="3"/>
      <c r="BB720" s="3"/>
      <c r="BC720" s="3"/>
      <c r="BD720" s="3"/>
      <c r="BE720" s="205"/>
      <c r="BF720" s="295">
        <f t="shared" si="10"/>
        <v>12</v>
      </c>
      <c r="BG720" s="298">
        <f t="shared" si="11"/>
        <v>9.4488188976377951E-2</v>
      </c>
      <c r="BH720" s="299">
        <f t="shared" si="12"/>
        <v>4.7244094488188976E-2</v>
      </c>
      <c r="BI720" s="3"/>
      <c r="BJ720" s="3"/>
      <c r="BK720" s="3"/>
      <c r="BL720" s="3"/>
      <c r="BM720" s="3"/>
      <c r="BN720" s="3"/>
      <c r="BS720" s="295">
        <f t="shared" si="13"/>
        <v>12</v>
      </c>
      <c r="BT720" s="298">
        <f t="shared" si="14"/>
        <v>9.4488188976377951E-2</v>
      </c>
      <c r="BU720" s="299">
        <f t="shared" si="15"/>
        <v>4.7244094488188976E-2</v>
      </c>
      <c r="CC720" s="3"/>
      <c r="CD720" s="3"/>
      <c r="CE720" s="3"/>
      <c r="CF720" s="3"/>
      <c r="CG720" s="1463">
        <f t="shared" si="37"/>
        <v>1</v>
      </c>
      <c r="CH720" s="1464"/>
      <c r="CI720" s="1469">
        <f t="shared" si="38"/>
        <v>12</v>
      </c>
      <c r="CJ720" s="1470"/>
      <c r="CK720" s="1463">
        <f t="shared" si="16"/>
        <v>0</v>
      </c>
      <c r="CL720" s="1464"/>
      <c r="CM720" s="1469">
        <f t="shared" si="17"/>
        <v>0</v>
      </c>
      <c r="CN720" s="1470"/>
      <c r="CO720" s="3"/>
      <c r="CP720" s="1458">
        <f t="shared" si="18"/>
        <v>12</v>
      </c>
      <c r="CQ720" s="1459"/>
      <c r="CR720" s="1459"/>
      <c r="CS720" s="1459"/>
      <c r="CT720" s="1460"/>
      <c r="CU720" s="1443">
        <f t="shared" si="19"/>
        <v>0</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f t="shared" si="30"/>
        <v>1306</v>
      </c>
      <c r="FA720" s="1465"/>
      <c r="FB720" s="1465"/>
      <c r="FC720" s="1465"/>
      <c r="FD720" s="1464"/>
      <c r="FE720" s="1463" t="str">
        <f t="shared" si="31"/>
        <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3" customHeight="1">
      <c r="B721" s="1338" t="s">
        <v>324</v>
      </c>
      <c r="C721" s="1339"/>
      <c r="D721" s="1339"/>
      <c r="E721" s="1339"/>
      <c r="F721" s="1340"/>
      <c r="G721" s="1350">
        <v>3</v>
      </c>
      <c r="H721" s="1351"/>
      <c r="I721" s="1351"/>
      <c r="J721" s="1352"/>
      <c r="K721" s="1344">
        <v>360</v>
      </c>
      <c r="L721" s="1345"/>
      <c r="M721" s="1345"/>
      <c r="N721" s="1346"/>
      <c r="O721" s="1341">
        <v>1579</v>
      </c>
      <c r="P721" s="1342"/>
      <c r="Q721" s="1342"/>
      <c r="R721" s="1342"/>
      <c r="S721" s="1343"/>
      <c r="T721" s="1341">
        <v>56</v>
      </c>
      <c r="U721" s="1342"/>
      <c r="V721" s="1342"/>
      <c r="W721" s="1343"/>
      <c r="X721" s="1353">
        <f t="shared" si="9"/>
        <v>1635</v>
      </c>
      <c r="Y721" s="1354"/>
      <c r="Z721" s="1354"/>
      <c r="AA721" s="1354"/>
      <c r="AB721" s="1355"/>
      <c r="AC721" s="1360">
        <v>0.6</v>
      </c>
      <c r="AD721" s="1361"/>
      <c r="AE721" s="1361"/>
      <c r="AF721" s="1361"/>
      <c r="AG721" s="1362"/>
      <c r="AH721" s="1356">
        <f t="shared" si="36"/>
        <v>0.60022026431718056</v>
      </c>
      <c r="AI721" s="1357"/>
      <c r="AJ721" s="1358"/>
      <c r="AK721" s="1338" t="s">
        <v>592</v>
      </c>
      <c r="AL721" s="1339"/>
      <c r="AM721" s="1339"/>
      <c r="AN721" s="1339"/>
      <c r="AO721" s="1340"/>
      <c r="AP721" s="3"/>
      <c r="AQ721" s="3"/>
      <c r="AR721" s="3"/>
      <c r="AS721" s="3"/>
      <c r="AY721" s="116"/>
      <c r="AZ721" s="118">
        <f>IF($G721=0,"N/A",VLOOKUP($T$189,TC_Rent,(MATCH($B721,bedrooms,FALSE)),FALSE))</f>
        <v>2724</v>
      </c>
      <c r="BA721" s="3"/>
      <c r="BB721" s="3"/>
      <c r="BC721" s="3"/>
      <c r="BD721" s="3"/>
      <c r="BE721" s="205"/>
      <c r="BF721" s="295">
        <f t="shared" si="10"/>
        <v>3</v>
      </c>
      <c r="BG721" s="298">
        <f t="shared" si="11"/>
        <v>2.3622047244094488E-2</v>
      </c>
      <c r="BH721" s="299">
        <f t="shared" si="12"/>
        <v>1.4173228346456693E-2</v>
      </c>
      <c r="BI721" s="3"/>
      <c r="BJ721" s="3"/>
      <c r="BK721" s="3"/>
      <c r="BL721" s="3"/>
      <c r="BM721" s="3"/>
      <c r="BN721" s="3"/>
      <c r="BS721" s="295">
        <f t="shared" si="13"/>
        <v>3</v>
      </c>
      <c r="BT721" s="298">
        <f t="shared" si="14"/>
        <v>2.3622047244094488E-2</v>
      </c>
      <c r="BU721" s="299">
        <f t="shared" si="15"/>
        <v>1.417843144056332E-2</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3</v>
      </c>
      <c r="CQ721" s="1459"/>
      <c r="CR721" s="1459"/>
      <c r="CS721" s="1459"/>
      <c r="CT721" s="1460"/>
      <c r="CU721" s="1443">
        <f t="shared" si="19"/>
        <v>0</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f t="shared" si="30"/>
        <v>1579</v>
      </c>
      <c r="FA721" s="1465"/>
      <c r="FB721" s="1465"/>
      <c r="FC721" s="1465"/>
      <c r="FD721" s="1464"/>
      <c r="FE721" s="1463" t="str">
        <f t="shared" si="31"/>
        <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3" customHeight="1">
      <c r="B722" s="1338" t="s">
        <v>325</v>
      </c>
      <c r="C722" s="1339"/>
      <c r="D722" s="1339"/>
      <c r="E722" s="1339"/>
      <c r="F722" s="1340"/>
      <c r="G722" s="1350">
        <v>1</v>
      </c>
      <c r="H722" s="1351"/>
      <c r="I722" s="1351"/>
      <c r="J722" s="1352"/>
      <c r="K722" s="1344">
        <v>528</v>
      </c>
      <c r="L722" s="1345"/>
      <c r="M722" s="1345"/>
      <c r="N722" s="1346"/>
      <c r="O722" s="1341">
        <v>514</v>
      </c>
      <c r="P722" s="1342"/>
      <c r="Q722" s="1342"/>
      <c r="R722" s="1342"/>
      <c r="S722" s="1343"/>
      <c r="T722" s="1341">
        <v>70</v>
      </c>
      <c r="U722" s="1342"/>
      <c r="V722" s="1342"/>
      <c r="W722" s="1343"/>
      <c r="X722" s="1353">
        <f t="shared" si="9"/>
        <v>584</v>
      </c>
      <c r="Y722" s="1354"/>
      <c r="Z722" s="1354"/>
      <c r="AA722" s="1354"/>
      <c r="AB722" s="1355"/>
      <c r="AC722" s="1360">
        <v>0.2</v>
      </c>
      <c r="AD722" s="1361"/>
      <c r="AE722" s="1361"/>
      <c r="AF722" s="1361"/>
      <c r="AG722" s="1362"/>
      <c r="AH722" s="1356">
        <f t="shared" si="36"/>
        <v>0.2</v>
      </c>
      <c r="AI722" s="1357"/>
      <c r="AJ722" s="1358"/>
      <c r="AK722" s="1338" t="s">
        <v>592</v>
      </c>
      <c r="AL722" s="1339"/>
      <c r="AM722" s="1339"/>
      <c r="AN722" s="1339"/>
      <c r="AO722" s="1340"/>
      <c r="AP722" s="3"/>
      <c r="AQ722" s="3"/>
      <c r="AR722" s="3"/>
      <c r="AS722" s="3"/>
      <c r="AY722" s="116"/>
      <c r="AZ722" s="118">
        <f>IF($G722=0,"N/A",VLOOKUP($T$189,TC_Rent,(MATCH($B722,bedrooms,FALSE)),FALSE))</f>
        <v>2920</v>
      </c>
      <c r="BA722" s="3"/>
      <c r="BB722" s="3"/>
      <c r="BC722" s="3"/>
      <c r="BD722" s="3"/>
      <c r="BE722" s="205"/>
      <c r="BF722" s="295">
        <f t="shared" si="10"/>
        <v>1</v>
      </c>
      <c r="BG722" s="298">
        <f t="shared" si="11"/>
        <v>7.874015748031496E-3</v>
      </c>
      <c r="BH722" s="299">
        <f t="shared" si="12"/>
        <v>1.5748031496062992E-3</v>
      </c>
      <c r="BI722" s="3"/>
      <c r="BJ722" s="3"/>
      <c r="BK722" s="3"/>
      <c r="BL722" s="3"/>
      <c r="BM722" s="3"/>
      <c r="BN722" s="3"/>
      <c r="BS722" s="295">
        <f t="shared" si="13"/>
        <v>1</v>
      </c>
      <c r="BT722" s="298">
        <f t="shared" si="14"/>
        <v>7.874015748031496E-3</v>
      </c>
      <c r="BU722" s="299">
        <f t="shared" si="15"/>
        <v>1.5748031496062992E-3</v>
      </c>
      <c r="CC722" s="3"/>
      <c r="CD722" s="3"/>
      <c r="CE722" s="3"/>
      <c r="CF722" s="3"/>
      <c r="CG722" s="1463">
        <f t="shared" si="37"/>
        <v>0</v>
      </c>
      <c r="CH722" s="1464"/>
      <c r="CI722" s="1469">
        <f t="shared" si="38"/>
        <v>0</v>
      </c>
      <c r="CJ722" s="1470"/>
      <c r="CK722" s="1463">
        <f t="shared" si="16"/>
        <v>1</v>
      </c>
      <c r="CL722" s="1464"/>
      <c r="CM722" s="1469">
        <f t="shared" si="17"/>
        <v>1</v>
      </c>
      <c r="CN722" s="1470"/>
      <c r="CO722" s="3"/>
      <c r="CP722" s="1458">
        <f t="shared" si="18"/>
        <v>0</v>
      </c>
      <c r="CQ722" s="1459"/>
      <c r="CR722" s="1459"/>
      <c r="CS722" s="1459"/>
      <c r="CT722" s="1460"/>
      <c r="CU722" s="1443">
        <f t="shared" si="19"/>
        <v>1</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1</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514</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3" customHeight="1">
      <c r="B723" s="1338" t="s">
        <v>325</v>
      </c>
      <c r="C723" s="1339"/>
      <c r="D723" s="1339"/>
      <c r="E723" s="1339"/>
      <c r="F723" s="1340"/>
      <c r="G723" s="1350">
        <v>8</v>
      </c>
      <c r="H723" s="1351"/>
      <c r="I723" s="1351"/>
      <c r="J723" s="1352"/>
      <c r="K723" s="1344">
        <v>528</v>
      </c>
      <c r="L723" s="1345"/>
      <c r="M723" s="1345"/>
      <c r="N723" s="1346"/>
      <c r="O723" s="1341">
        <v>806</v>
      </c>
      <c r="P723" s="1342"/>
      <c r="Q723" s="1342"/>
      <c r="R723" s="1342"/>
      <c r="S723" s="1343"/>
      <c r="T723" s="1341">
        <v>70</v>
      </c>
      <c r="U723" s="1342"/>
      <c r="V723" s="1342"/>
      <c r="W723" s="1343"/>
      <c r="X723" s="1353">
        <f t="shared" si="9"/>
        <v>876</v>
      </c>
      <c r="Y723" s="1354"/>
      <c r="Z723" s="1354"/>
      <c r="AA723" s="1354"/>
      <c r="AB723" s="1355"/>
      <c r="AC723" s="1360">
        <v>0.3</v>
      </c>
      <c r="AD723" s="1361"/>
      <c r="AE723" s="1361"/>
      <c r="AF723" s="1361"/>
      <c r="AG723" s="1362"/>
      <c r="AH723" s="1356">
        <f t="shared" si="36"/>
        <v>0.3</v>
      </c>
      <c r="AI723" s="1357"/>
      <c r="AJ723" s="1358"/>
      <c r="AK723" s="1338" t="s">
        <v>592</v>
      </c>
      <c r="AL723" s="1339"/>
      <c r="AM723" s="1339"/>
      <c r="AN723" s="1339"/>
      <c r="AO723" s="1340"/>
      <c r="AP723" s="3"/>
      <c r="AQ723" s="3"/>
      <c r="AR723" s="3"/>
      <c r="AS723" s="3"/>
      <c r="AY723" s="116"/>
      <c r="AZ723" s="118">
        <f>IF($G723=0,"N/A",VLOOKUP($T$189,TC_Rent,(MATCH($B723,bedrooms,FALSE)),FALSE))</f>
        <v>2920</v>
      </c>
      <c r="BA723" s="3"/>
      <c r="BB723" s="3"/>
      <c r="BC723" s="3"/>
      <c r="BD723" s="3"/>
      <c r="BE723" s="205"/>
      <c r="BF723" s="295">
        <f t="shared" si="10"/>
        <v>8</v>
      </c>
      <c r="BG723" s="298">
        <f t="shared" si="11"/>
        <v>6.2992125984251968E-2</v>
      </c>
      <c r="BH723" s="299">
        <f t="shared" si="12"/>
        <v>1.889763779527559E-2</v>
      </c>
      <c r="BI723" s="3"/>
      <c r="BJ723" s="3"/>
      <c r="BK723" s="3"/>
      <c r="BL723" s="3"/>
      <c r="BM723" s="3"/>
      <c r="BN723" s="3"/>
      <c r="BS723" s="295">
        <f t="shared" si="13"/>
        <v>8</v>
      </c>
      <c r="BT723" s="298">
        <f t="shared" si="14"/>
        <v>6.2992125984251968E-2</v>
      </c>
      <c r="BU723" s="299">
        <f t="shared" si="15"/>
        <v>1.889763779527559E-2</v>
      </c>
      <c r="CC723" s="3"/>
      <c r="CD723" s="3"/>
      <c r="CE723" s="3"/>
      <c r="CF723" s="3"/>
      <c r="CG723" s="1463">
        <f t="shared" si="37"/>
        <v>0</v>
      </c>
      <c r="CH723" s="1464"/>
      <c r="CI723" s="1469">
        <f t="shared" si="38"/>
        <v>0</v>
      </c>
      <c r="CJ723" s="1470"/>
      <c r="CK723" s="1463">
        <f t="shared" si="16"/>
        <v>1</v>
      </c>
      <c r="CL723" s="1464"/>
      <c r="CM723" s="1469">
        <f t="shared" si="17"/>
        <v>8</v>
      </c>
      <c r="CN723" s="1470"/>
      <c r="CO723" s="3"/>
      <c r="CP723" s="1458">
        <f t="shared" si="18"/>
        <v>0</v>
      </c>
      <c r="CQ723" s="1459"/>
      <c r="CR723" s="1459"/>
      <c r="CS723" s="1459"/>
      <c r="CT723" s="1460"/>
      <c r="CU723" s="1443">
        <f t="shared" si="19"/>
        <v>8</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8</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f t="shared" si="31"/>
        <v>806</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3" customHeight="1">
      <c r="B724" s="1338" t="s">
        <v>325</v>
      </c>
      <c r="C724" s="1339"/>
      <c r="D724" s="1339"/>
      <c r="E724" s="1339"/>
      <c r="F724" s="1340"/>
      <c r="G724" s="1350">
        <v>23</v>
      </c>
      <c r="H724" s="1351"/>
      <c r="I724" s="1351"/>
      <c r="J724" s="1352"/>
      <c r="K724" s="1344">
        <v>528</v>
      </c>
      <c r="L724" s="1345"/>
      <c r="M724" s="1345"/>
      <c r="N724" s="1346"/>
      <c r="O724" s="1341">
        <v>1390</v>
      </c>
      <c r="P724" s="1342"/>
      <c r="Q724" s="1342"/>
      <c r="R724" s="1342"/>
      <c r="S724" s="1343"/>
      <c r="T724" s="1341">
        <v>70</v>
      </c>
      <c r="U724" s="1342"/>
      <c r="V724" s="1342"/>
      <c r="W724" s="1343"/>
      <c r="X724" s="1353">
        <f t="shared" si="9"/>
        <v>1460</v>
      </c>
      <c r="Y724" s="1354"/>
      <c r="Z724" s="1354"/>
      <c r="AA724" s="1354"/>
      <c r="AB724" s="1355"/>
      <c r="AC724" s="1360">
        <v>0.5</v>
      </c>
      <c r="AD724" s="1361"/>
      <c r="AE724" s="1361"/>
      <c r="AF724" s="1361"/>
      <c r="AG724" s="1362"/>
      <c r="AH724" s="1356">
        <f t="shared" si="36"/>
        <v>0.5</v>
      </c>
      <c r="AI724" s="1357"/>
      <c r="AJ724" s="1358"/>
      <c r="AK724" s="1338" t="s">
        <v>592</v>
      </c>
      <c r="AL724" s="1339"/>
      <c r="AM724" s="1339"/>
      <c r="AN724" s="1339"/>
      <c r="AO724" s="1340"/>
      <c r="AP724" s="3"/>
      <c r="AQ724" s="3"/>
      <c r="AR724" s="3"/>
      <c r="AS724" s="3"/>
      <c r="AY724" s="116"/>
      <c r="AZ724" s="118">
        <f>IF($G724=0,"N/A",VLOOKUP($T$189,TC_Rent,(MATCH($B724,bedrooms,FALSE)),FALSE))</f>
        <v>2920</v>
      </c>
      <c r="BA724" s="3"/>
      <c r="BB724" s="3"/>
      <c r="BC724" s="3"/>
      <c r="BD724" s="3"/>
      <c r="BE724" s="205"/>
      <c r="BF724" s="295">
        <f t="shared" si="10"/>
        <v>23</v>
      </c>
      <c r="BG724" s="298">
        <f t="shared" si="11"/>
        <v>0.18110236220472442</v>
      </c>
      <c r="BH724" s="299">
        <f t="shared" si="12"/>
        <v>9.055118110236221E-2</v>
      </c>
      <c r="BI724" s="3"/>
      <c r="BJ724" s="3"/>
      <c r="BK724" s="3"/>
      <c r="BL724" s="3"/>
      <c r="BM724" s="3"/>
      <c r="BN724" s="3"/>
      <c r="BS724" s="295">
        <f t="shared" si="13"/>
        <v>23</v>
      </c>
      <c r="BT724" s="298">
        <f t="shared" si="14"/>
        <v>0.18110236220472442</v>
      </c>
      <c r="BU724" s="299">
        <f t="shared" si="15"/>
        <v>9.055118110236221E-2</v>
      </c>
      <c r="CC724" s="3"/>
      <c r="CE724" s="3"/>
      <c r="CF724" s="3"/>
      <c r="CG724" s="1463">
        <f t="shared" si="37"/>
        <v>1</v>
      </c>
      <c r="CH724" s="1464"/>
      <c r="CI724" s="1469">
        <f t="shared" si="38"/>
        <v>23</v>
      </c>
      <c r="CJ724" s="1470"/>
      <c r="CK724" s="1463">
        <f t="shared" si="16"/>
        <v>0</v>
      </c>
      <c r="CL724" s="1464"/>
      <c r="CM724" s="1469">
        <f t="shared" si="17"/>
        <v>0</v>
      </c>
      <c r="CN724" s="1470"/>
      <c r="CO724" s="3"/>
      <c r="CP724" s="1458">
        <f t="shared" si="18"/>
        <v>0</v>
      </c>
      <c r="CQ724" s="1459"/>
      <c r="CR724" s="1459"/>
      <c r="CS724" s="1459"/>
      <c r="CT724" s="1460"/>
      <c r="CU724" s="1443">
        <f t="shared" si="19"/>
        <v>23</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f t="shared" si="31"/>
        <v>1390</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3" customHeight="1">
      <c r="B725" s="1338" t="s">
        <v>325</v>
      </c>
      <c r="C725" s="1339"/>
      <c r="D725" s="1339"/>
      <c r="E725" s="1339"/>
      <c r="F725" s="1340"/>
      <c r="G725" s="1350">
        <v>11</v>
      </c>
      <c r="H725" s="1351"/>
      <c r="I725" s="1351"/>
      <c r="J725" s="1352"/>
      <c r="K725" s="1344">
        <v>528</v>
      </c>
      <c r="L725" s="1345"/>
      <c r="M725" s="1345"/>
      <c r="N725" s="1346"/>
      <c r="O725" s="1341">
        <v>1682</v>
      </c>
      <c r="P725" s="1342"/>
      <c r="Q725" s="1342"/>
      <c r="R725" s="1342"/>
      <c r="S725" s="1343"/>
      <c r="T725" s="1341">
        <v>70</v>
      </c>
      <c r="U725" s="1342"/>
      <c r="V725" s="1342"/>
      <c r="W725" s="1343"/>
      <c r="X725" s="1353">
        <f t="shared" si="9"/>
        <v>1752</v>
      </c>
      <c r="Y725" s="1354"/>
      <c r="Z725" s="1354"/>
      <c r="AA725" s="1354"/>
      <c r="AB725" s="1355"/>
      <c r="AC725" s="1360">
        <v>0.6</v>
      </c>
      <c r="AD725" s="1361"/>
      <c r="AE725" s="1361"/>
      <c r="AF725" s="1361"/>
      <c r="AG725" s="1362"/>
      <c r="AH725" s="1356">
        <f t="shared" si="36"/>
        <v>0.6</v>
      </c>
      <c r="AI725" s="1357"/>
      <c r="AJ725" s="1358"/>
      <c r="AK725" s="1338" t="s">
        <v>592</v>
      </c>
      <c r="AL725" s="1339"/>
      <c r="AM725" s="1339"/>
      <c r="AN725" s="1339"/>
      <c r="AO725" s="1340"/>
      <c r="AP725" s="3"/>
      <c r="AQ725" s="3"/>
      <c r="AR725" s="3"/>
      <c r="AS725" s="3"/>
      <c r="AY725" s="1087"/>
      <c r="AZ725" s="118">
        <f>IF($G725=0,"N/A",VLOOKUP($T$189,TC_Rent,(MATCH($B725,bedrooms,FALSE)),FALSE))</f>
        <v>2920</v>
      </c>
      <c r="BA725" s="3"/>
      <c r="BB725" s="3"/>
      <c r="BC725" s="3"/>
      <c r="BD725" s="3"/>
      <c r="BE725" s="205"/>
      <c r="BF725" s="295">
        <f t="shared" si="10"/>
        <v>11</v>
      </c>
      <c r="BG725" s="298">
        <f t="shared" si="11"/>
        <v>8.6614173228346455E-2</v>
      </c>
      <c r="BH725" s="299">
        <f t="shared" si="12"/>
        <v>5.1968503937007873E-2</v>
      </c>
      <c r="BI725" s="3"/>
      <c r="BJ725" s="3"/>
      <c r="BK725" s="3"/>
      <c r="BL725" s="3"/>
      <c r="BM725" s="3"/>
      <c r="BN725" s="3"/>
      <c r="BS725" s="295">
        <f t="shared" si="13"/>
        <v>11</v>
      </c>
      <c r="BT725" s="298">
        <f t="shared" si="14"/>
        <v>8.6614173228346455E-2</v>
      </c>
      <c r="BU725" s="299">
        <f t="shared" si="15"/>
        <v>5.1968503937007873E-2</v>
      </c>
      <c r="BV725" s="293"/>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11</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f t="shared" si="31"/>
        <v>1682</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3" customHeight="1">
      <c r="B726" s="1338" t="s">
        <v>325</v>
      </c>
      <c r="C726" s="1339"/>
      <c r="D726" s="1339"/>
      <c r="E726" s="1339"/>
      <c r="F726" s="1340"/>
      <c r="G726" s="1350">
        <v>1</v>
      </c>
      <c r="H726" s="1351"/>
      <c r="I726" s="1351"/>
      <c r="J726" s="1352"/>
      <c r="K726" s="1344">
        <v>528</v>
      </c>
      <c r="L726" s="1345"/>
      <c r="M726" s="1345"/>
      <c r="N726" s="1346"/>
      <c r="O726" s="1341">
        <v>2266</v>
      </c>
      <c r="P726" s="1342"/>
      <c r="Q726" s="1342"/>
      <c r="R726" s="1342"/>
      <c r="S726" s="1343"/>
      <c r="T726" s="1341">
        <v>70</v>
      </c>
      <c r="U726" s="1342"/>
      <c r="V726" s="1342"/>
      <c r="W726" s="1343"/>
      <c r="X726" s="1353">
        <f t="shared" si="9"/>
        <v>2336</v>
      </c>
      <c r="Y726" s="1354"/>
      <c r="Z726" s="1354"/>
      <c r="AA726" s="1354"/>
      <c r="AB726" s="1355"/>
      <c r="AC726" s="1360">
        <v>0.8</v>
      </c>
      <c r="AD726" s="1361"/>
      <c r="AE726" s="1361"/>
      <c r="AF726" s="1361"/>
      <c r="AG726" s="1362"/>
      <c r="AH726" s="1356">
        <f t="shared" si="36"/>
        <v>0.8</v>
      </c>
      <c r="AI726" s="1357"/>
      <c r="AJ726" s="1358"/>
      <c r="AK726" s="1338" t="s">
        <v>592</v>
      </c>
      <c r="AL726" s="1339"/>
      <c r="AM726" s="1339"/>
      <c r="AN726" s="1339"/>
      <c r="AO726" s="1340"/>
      <c r="AP726" s="3"/>
      <c r="AQ726" s="3"/>
      <c r="AR726" s="3"/>
      <c r="AS726" s="3"/>
      <c r="AY726" s="1087"/>
      <c r="AZ726" s="118">
        <f>IF($G726=0,"N/A",VLOOKUP($T$189,TC_Rent,(MATCH($B726,bedrooms,FALSE)),FALSE))</f>
        <v>2920</v>
      </c>
      <c r="BA726" s="3"/>
      <c r="BB726" s="3"/>
      <c r="BC726" s="3"/>
      <c r="BD726" s="3"/>
      <c r="BE726" s="205"/>
      <c r="BF726" s="295">
        <f t="shared" si="10"/>
        <v>1</v>
      </c>
      <c r="BG726" s="298">
        <f t="shared" si="11"/>
        <v>7.874015748031496E-3</v>
      </c>
      <c r="BH726" s="299">
        <f t="shared" si="12"/>
        <v>6.2992125984251968E-3</v>
      </c>
      <c r="BI726" s="3"/>
      <c r="BJ726" s="3"/>
      <c r="BK726" s="3"/>
      <c r="BL726" s="3"/>
      <c r="BM726" s="3"/>
      <c r="BN726" s="3"/>
      <c r="BS726" s="295">
        <f t="shared" si="13"/>
        <v>1</v>
      </c>
      <c r="BT726" s="298">
        <f t="shared" si="14"/>
        <v>7.874015748031496E-3</v>
      </c>
      <c r="BU726" s="299">
        <f t="shared" si="15"/>
        <v>6.2992125984251968E-3</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1</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f t="shared" si="31"/>
        <v>2266</v>
      </c>
      <c r="FF726" s="1465"/>
      <c r="FG726" s="1465"/>
      <c r="FH726" s="1465"/>
      <c r="FI726" s="1464"/>
      <c r="FJ726" s="1463" t="str">
        <f t="shared" si="32"/>
        <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3" customHeight="1">
      <c r="A727" s="4"/>
      <c r="B727" s="1338" t="s">
        <v>163</v>
      </c>
      <c r="C727" s="1339"/>
      <c r="D727" s="1339"/>
      <c r="E727" s="1339"/>
      <c r="F727" s="1340"/>
      <c r="G727" s="1350">
        <v>3</v>
      </c>
      <c r="H727" s="1351"/>
      <c r="I727" s="1351"/>
      <c r="J727" s="1352"/>
      <c r="K727" s="1344">
        <v>792</v>
      </c>
      <c r="L727" s="1345"/>
      <c r="M727" s="1345"/>
      <c r="N727" s="1346"/>
      <c r="O727" s="1341">
        <v>965</v>
      </c>
      <c r="P727" s="1342"/>
      <c r="Q727" s="1342"/>
      <c r="R727" s="1342"/>
      <c r="S727" s="1343"/>
      <c r="T727" s="1341">
        <v>86</v>
      </c>
      <c r="U727" s="1342"/>
      <c r="V727" s="1342"/>
      <c r="W727" s="1343"/>
      <c r="X727" s="1353">
        <f t="shared" si="9"/>
        <v>1051</v>
      </c>
      <c r="Y727" s="1354"/>
      <c r="Z727" s="1354"/>
      <c r="AA727" s="1354"/>
      <c r="AB727" s="1355"/>
      <c r="AC727" s="1360">
        <v>0.3</v>
      </c>
      <c r="AD727" s="1361"/>
      <c r="AE727" s="1361"/>
      <c r="AF727" s="1361"/>
      <c r="AG727" s="1362"/>
      <c r="AH727" s="1356">
        <f t="shared" si="36"/>
        <v>0.29994292237442921</v>
      </c>
      <c r="AI727" s="1357"/>
      <c r="AJ727" s="1358"/>
      <c r="AK727" s="1338" t="s">
        <v>592</v>
      </c>
      <c r="AL727" s="1339"/>
      <c r="AM727" s="1339"/>
      <c r="AN727" s="1339"/>
      <c r="AO727" s="1340"/>
      <c r="AP727" s="3"/>
      <c r="AQ727" s="3"/>
      <c r="AR727" s="3"/>
      <c r="AS727" s="3"/>
      <c r="AY727" s="1087"/>
      <c r="AZ727" s="118">
        <f>IF($G727=0,"N/A",VLOOKUP($T$189,TC_Rent,(MATCH($B727,bedrooms,FALSE)),FALSE))</f>
        <v>3504</v>
      </c>
      <c r="BA727" s="3"/>
      <c r="BB727" s="3"/>
      <c r="BC727" s="3"/>
      <c r="BD727" s="3"/>
      <c r="BE727" s="205"/>
      <c r="BF727" s="295">
        <f t="shared" si="10"/>
        <v>3</v>
      </c>
      <c r="BG727" s="298">
        <f t="shared" si="11"/>
        <v>2.3622047244094488E-2</v>
      </c>
      <c r="BH727" s="299">
        <f t="shared" si="12"/>
        <v>7.0866141732283464E-3</v>
      </c>
      <c r="BI727" s="3"/>
      <c r="BJ727" s="3"/>
      <c r="BK727" s="3"/>
      <c r="BL727" s="3"/>
      <c r="BM727" s="3"/>
      <c r="BN727" s="3"/>
      <c r="BS727" s="295">
        <f t="shared" si="13"/>
        <v>3</v>
      </c>
      <c r="BT727" s="298">
        <f t="shared" si="14"/>
        <v>2.3622047244094488E-2</v>
      </c>
      <c r="BU727" s="299">
        <f t="shared" si="15"/>
        <v>7.0852658828605324E-3</v>
      </c>
      <c r="BV727" s="3"/>
      <c r="BW727" s="3"/>
      <c r="BX727" s="3"/>
      <c r="BY727" s="3"/>
      <c r="BZ727" s="3"/>
      <c r="CA727" s="3"/>
      <c r="CB727" s="3"/>
      <c r="CC727" s="3"/>
      <c r="CE727" s="3"/>
      <c r="CF727" s="3"/>
      <c r="CG727" s="1463">
        <f t="shared" si="37"/>
        <v>0</v>
      </c>
      <c r="CH727" s="1464"/>
      <c r="CI727" s="1469">
        <f t="shared" si="38"/>
        <v>0</v>
      </c>
      <c r="CJ727" s="1470"/>
      <c r="CK727" s="1463">
        <f t="shared" si="16"/>
        <v>1</v>
      </c>
      <c r="CL727" s="1464"/>
      <c r="CM727" s="1469">
        <f t="shared" si="17"/>
        <v>3</v>
      </c>
      <c r="CN727" s="1470"/>
      <c r="CO727" s="3"/>
      <c r="CP727" s="1458">
        <f t="shared" si="18"/>
        <v>0</v>
      </c>
      <c r="CQ727" s="1459"/>
      <c r="CR727" s="1459"/>
      <c r="CS727" s="1459"/>
      <c r="CT727" s="1460"/>
      <c r="CU727" s="1443">
        <f t="shared" si="19"/>
        <v>0</v>
      </c>
      <c r="CV727" s="1443"/>
      <c r="CW727" s="1443"/>
      <c r="CX727" s="1443"/>
      <c r="CY727" s="1443"/>
      <c r="CZ727" s="1443">
        <f t="shared" si="20"/>
        <v>3</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3</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965</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3" customHeight="1">
      <c r="A728" s="4"/>
      <c r="B728" s="1338" t="s">
        <v>163</v>
      </c>
      <c r="C728" s="1339"/>
      <c r="D728" s="1339"/>
      <c r="E728" s="1339"/>
      <c r="F728" s="1340"/>
      <c r="G728" s="1350">
        <v>13</v>
      </c>
      <c r="H728" s="1351"/>
      <c r="I728" s="1351"/>
      <c r="J728" s="1352"/>
      <c r="K728" s="1344">
        <v>792</v>
      </c>
      <c r="L728" s="1345"/>
      <c r="M728" s="1345"/>
      <c r="N728" s="1346"/>
      <c r="O728" s="1341">
        <v>1666</v>
      </c>
      <c r="P728" s="1342"/>
      <c r="Q728" s="1342"/>
      <c r="R728" s="1342"/>
      <c r="S728" s="1343"/>
      <c r="T728" s="1341">
        <v>86</v>
      </c>
      <c r="U728" s="1342"/>
      <c r="V728" s="1342"/>
      <c r="W728" s="1343"/>
      <c r="X728" s="1353">
        <f t="shared" si="9"/>
        <v>1752</v>
      </c>
      <c r="Y728" s="1354"/>
      <c r="Z728" s="1354"/>
      <c r="AA728" s="1354"/>
      <c r="AB728" s="1355"/>
      <c r="AC728" s="1360">
        <v>0.5</v>
      </c>
      <c r="AD728" s="1361"/>
      <c r="AE728" s="1361"/>
      <c r="AF728" s="1361"/>
      <c r="AG728" s="1362"/>
      <c r="AH728" s="1356">
        <f t="shared" si="36"/>
        <v>0.5</v>
      </c>
      <c r="AI728" s="1357"/>
      <c r="AJ728" s="1358"/>
      <c r="AK728" s="1338" t="s">
        <v>592</v>
      </c>
      <c r="AL728" s="1339"/>
      <c r="AM728" s="1339"/>
      <c r="AN728" s="1339"/>
      <c r="AO728" s="1340"/>
      <c r="AP728" s="3"/>
      <c r="AQ728" s="3"/>
      <c r="AR728" s="3"/>
      <c r="AS728" s="3"/>
      <c r="AY728" s="1087"/>
      <c r="AZ728" s="118">
        <f>IF($G728=0,"N/A",VLOOKUP($T$189,TC_Rent,(MATCH($B728,bedrooms,FALSE)),FALSE))</f>
        <v>3504</v>
      </c>
      <c r="BA728" s="3"/>
      <c r="BB728" s="3"/>
      <c r="BC728" s="3"/>
      <c r="BD728" s="3"/>
      <c r="BE728" s="205"/>
      <c r="BF728" s="295">
        <f t="shared" si="10"/>
        <v>13</v>
      </c>
      <c r="BG728" s="298">
        <f t="shared" si="11"/>
        <v>0.10236220472440945</v>
      </c>
      <c r="BH728" s="299">
        <f t="shared" si="12"/>
        <v>5.1181102362204724E-2</v>
      </c>
      <c r="BI728" s="3"/>
      <c r="BJ728" s="3"/>
      <c r="BK728" s="3"/>
      <c r="BL728" s="3"/>
      <c r="BM728" s="3"/>
      <c r="BN728" s="3"/>
      <c r="BS728" s="295">
        <f t="shared" si="13"/>
        <v>13</v>
      </c>
      <c r="BT728" s="298">
        <f t="shared" si="14"/>
        <v>0.10236220472440945</v>
      </c>
      <c r="BU728" s="299">
        <f t="shared" si="15"/>
        <v>5.1181102362204724E-2</v>
      </c>
      <c r="BV728" s="3"/>
      <c r="BW728" s="3"/>
      <c r="BX728" s="3"/>
      <c r="BY728" s="3"/>
      <c r="BZ728" s="3"/>
      <c r="CA728" s="3"/>
      <c r="CB728" s="3"/>
      <c r="CC728" s="3"/>
      <c r="CE728" s="3"/>
      <c r="CF728" s="3"/>
      <c r="CG728" s="1463">
        <f t="shared" si="37"/>
        <v>1</v>
      </c>
      <c r="CH728" s="1464"/>
      <c r="CI728" s="1469">
        <f t="shared" si="38"/>
        <v>13</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13</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f t="shared" si="32"/>
        <v>1666</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3" customHeight="1">
      <c r="A729" s="4"/>
      <c r="B729" s="1338" t="s">
        <v>163</v>
      </c>
      <c r="C729" s="1339"/>
      <c r="D729" s="1339"/>
      <c r="E729" s="1339"/>
      <c r="F729" s="1340"/>
      <c r="G729" s="1350">
        <v>9</v>
      </c>
      <c r="H729" s="1351"/>
      <c r="I729" s="1351"/>
      <c r="J729" s="1352"/>
      <c r="K729" s="1344">
        <v>792</v>
      </c>
      <c r="L729" s="1345"/>
      <c r="M729" s="1345"/>
      <c r="N729" s="1346"/>
      <c r="O729" s="1341">
        <v>2017</v>
      </c>
      <c r="P729" s="1342"/>
      <c r="Q729" s="1342"/>
      <c r="R729" s="1342"/>
      <c r="S729" s="1343"/>
      <c r="T729" s="1341">
        <v>86</v>
      </c>
      <c r="U729" s="1342"/>
      <c r="V729" s="1342"/>
      <c r="W729" s="1343"/>
      <c r="X729" s="1353">
        <f t="shared" si="9"/>
        <v>2103</v>
      </c>
      <c r="Y729" s="1354"/>
      <c r="Z729" s="1354"/>
      <c r="AA729" s="1354"/>
      <c r="AB729" s="1355"/>
      <c r="AC729" s="1360">
        <v>0.6</v>
      </c>
      <c r="AD729" s="1361"/>
      <c r="AE729" s="1361"/>
      <c r="AF729" s="1361"/>
      <c r="AG729" s="1362"/>
      <c r="AH729" s="1356">
        <f t="shared" si="36"/>
        <v>0.60017123287671237</v>
      </c>
      <c r="AI729" s="1357"/>
      <c r="AJ729" s="1358"/>
      <c r="AK729" s="1338" t="s">
        <v>592</v>
      </c>
      <c r="AL729" s="1339"/>
      <c r="AM729" s="1339"/>
      <c r="AN729" s="1339"/>
      <c r="AO729" s="1340"/>
      <c r="AP729" s="3"/>
      <c r="AQ729" s="3"/>
      <c r="AR729" s="3"/>
      <c r="AS729" s="3"/>
      <c r="AY729" s="1087"/>
      <c r="AZ729" s="118">
        <f>IF($G729=0,"N/A",VLOOKUP($T$189,TC_Rent,(MATCH($B729,bedrooms,FALSE)),FALSE))</f>
        <v>3504</v>
      </c>
      <c r="BA729" s="3"/>
      <c r="BB729" s="3"/>
      <c r="BC729" s="3"/>
      <c r="BD729" s="3"/>
      <c r="BE729" s="205"/>
      <c r="BF729" s="295">
        <f t="shared" si="10"/>
        <v>9</v>
      </c>
      <c r="BG729" s="298">
        <f t="shared" si="11"/>
        <v>7.0866141732283464E-2</v>
      </c>
      <c r="BH729" s="299">
        <f t="shared" si="12"/>
        <v>4.2519685039370078E-2</v>
      </c>
      <c r="BI729" s="3"/>
      <c r="BJ729" s="3"/>
      <c r="BK729" s="3"/>
      <c r="BL729" s="3"/>
      <c r="BM729" s="3"/>
      <c r="BN729" s="3"/>
      <c r="BS729" s="295">
        <f t="shared" si="13"/>
        <v>9</v>
      </c>
      <c r="BT729" s="298">
        <f t="shared" si="14"/>
        <v>7.0866141732283464E-2</v>
      </c>
      <c r="BU729" s="299">
        <f t="shared" si="15"/>
        <v>4.2531819652680401E-2</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9</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f t="shared" si="32"/>
        <v>2017</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3" customHeight="1">
      <c r="B730" s="1338" t="s">
        <v>163</v>
      </c>
      <c r="C730" s="1339"/>
      <c r="D730" s="1339"/>
      <c r="E730" s="1339"/>
      <c r="F730" s="1340"/>
      <c r="G730" s="1350">
        <v>2</v>
      </c>
      <c r="H730" s="1351"/>
      <c r="I730" s="1351"/>
      <c r="J730" s="1352"/>
      <c r="K730" s="1344">
        <v>792</v>
      </c>
      <c r="L730" s="1345"/>
      <c r="M730" s="1345"/>
      <c r="N730" s="1346"/>
      <c r="O730" s="1341">
        <v>2718</v>
      </c>
      <c r="P730" s="1342"/>
      <c r="Q730" s="1342"/>
      <c r="R730" s="1342"/>
      <c r="S730" s="1343"/>
      <c r="T730" s="1341">
        <v>86</v>
      </c>
      <c r="U730" s="1342"/>
      <c r="V730" s="1342"/>
      <c r="W730" s="1343"/>
      <c r="X730" s="1353">
        <f t="shared" si="9"/>
        <v>2804</v>
      </c>
      <c r="Y730" s="1354"/>
      <c r="Z730" s="1354"/>
      <c r="AA730" s="1354"/>
      <c r="AB730" s="1355"/>
      <c r="AC730" s="1360">
        <v>0.8</v>
      </c>
      <c r="AD730" s="1361"/>
      <c r="AE730" s="1361"/>
      <c r="AF730" s="1361"/>
      <c r="AG730" s="1362"/>
      <c r="AH730" s="1356">
        <f t="shared" si="36"/>
        <v>0.80022831050228316</v>
      </c>
      <c r="AI730" s="1357"/>
      <c r="AJ730" s="1358"/>
      <c r="AK730" s="1338" t="s">
        <v>592</v>
      </c>
      <c r="AL730" s="1339"/>
      <c r="AM730" s="1339"/>
      <c r="AN730" s="1339"/>
      <c r="AO730" s="1340"/>
      <c r="AP730" s="3"/>
      <c r="AQ730" s="3"/>
      <c r="AR730" s="3"/>
      <c r="AS730" s="3"/>
      <c r="AY730" s="1087"/>
      <c r="AZ730" s="118">
        <f>IF($G730=0,"N/A",VLOOKUP($T$189,TC_Rent,(MATCH($B730,bedrooms,FALSE)),FALSE))</f>
        <v>3504</v>
      </c>
      <c r="BA730" s="3"/>
      <c r="BB730" s="3"/>
      <c r="BC730" s="3"/>
      <c r="BD730" s="3"/>
      <c r="BE730" s="205"/>
      <c r="BF730" s="295">
        <f t="shared" si="10"/>
        <v>2</v>
      </c>
      <c r="BG730" s="298">
        <f t="shared" si="11"/>
        <v>1.5748031496062992E-2</v>
      </c>
      <c r="BH730" s="299">
        <f t="shared" si="12"/>
        <v>1.2598425196850394E-2</v>
      </c>
      <c r="BI730" s="3"/>
      <c r="BJ730" s="3"/>
      <c r="BK730" s="3"/>
      <c r="BL730" s="3"/>
      <c r="BM730" s="3"/>
      <c r="BN730" s="3"/>
      <c r="BS730" s="295">
        <f t="shared" si="13"/>
        <v>2</v>
      </c>
      <c r="BT730" s="298">
        <f t="shared" si="14"/>
        <v>1.5748031496062992E-2</v>
      </c>
      <c r="BU730" s="299">
        <f t="shared" si="15"/>
        <v>1.2602020637831231E-2</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2</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f t="shared" si="32"/>
        <v>2718</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3" customHeight="1">
      <c r="B731" s="1338" t="s">
        <v>164</v>
      </c>
      <c r="C731" s="1339"/>
      <c r="D731" s="1339"/>
      <c r="E731" s="1339"/>
      <c r="F731" s="1340"/>
      <c r="G731" s="1350">
        <v>2</v>
      </c>
      <c r="H731" s="1351"/>
      <c r="I731" s="1351"/>
      <c r="J731" s="1352"/>
      <c r="K731" s="1344">
        <v>1008</v>
      </c>
      <c r="L731" s="1345"/>
      <c r="M731" s="1345"/>
      <c r="N731" s="1346"/>
      <c r="O731" s="1341">
        <v>1110</v>
      </c>
      <c r="P731" s="1342"/>
      <c r="Q731" s="1342"/>
      <c r="R731" s="1342"/>
      <c r="S731" s="1343"/>
      <c r="T731" s="1341">
        <v>104</v>
      </c>
      <c r="U731" s="1342"/>
      <c r="V731" s="1342"/>
      <c r="W731" s="1343"/>
      <c r="X731" s="1353">
        <f t="shared" si="9"/>
        <v>1214</v>
      </c>
      <c r="Y731" s="1354"/>
      <c r="Z731" s="1354"/>
      <c r="AA731" s="1354"/>
      <c r="AB731" s="1355"/>
      <c r="AC731" s="1360">
        <v>0.3</v>
      </c>
      <c r="AD731" s="1361"/>
      <c r="AE731" s="1361"/>
      <c r="AF731" s="1361"/>
      <c r="AG731" s="1362"/>
      <c r="AH731" s="1356">
        <f t="shared" si="36"/>
        <v>0.29990118577075098</v>
      </c>
      <c r="AI731" s="1357"/>
      <c r="AJ731" s="1358"/>
      <c r="AK731" s="1338" t="s">
        <v>592</v>
      </c>
      <c r="AL731" s="1339"/>
      <c r="AM731" s="1339"/>
      <c r="AN731" s="1339"/>
      <c r="AO731" s="1340"/>
      <c r="AP731" s="3"/>
      <c r="AQ731" s="3"/>
      <c r="AR731" s="3"/>
      <c r="AS731" s="3"/>
      <c r="AY731" s="1087"/>
      <c r="AZ731" s="118">
        <f>IF($G731=0,"N/A",VLOOKUP($T$189,TC_Rent,(MATCH($B731,bedrooms,FALSE)),FALSE))</f>
        <v>4048</v>
      </c>
      <c r="BA731" s="3"/>
      <c r="BB731" s="3"/>
      <c r="BC731" s="3"/>
      <c r="BD731" s="3"/>
      <c r="BE731" s="205"/>
      <c r="BF731" s="295">
        <f t="shared" si="10"/>
        <v>2</v>
      </c>
      <c r="BG731" s="298">
        <f t="shared" si="11"/>
        <v>1.5748031496062992E-2</v>
      </c>
      <c r="BH731" s="299">
        <f t="shared" si="12"/>
        <v>4.7244094488188976E-3</v>
      </c>
      <c r="BI731" s="3"/>
      <c r="BJ731" s="3"/>
      <c r="BK731" s="3"/>
      <c r="BL731" s="3"/>
      <c r="BM731" s="3"/>
      <c r="BN731" s="3"/>
      <c r="BS731" s="295">
        <f t="shared" si="13"/>
        <v>2</v>
      </c>
      <c r="BT731" s="298">
        <f t="shared" si="14"/>
        <v>1.5748031496062992E-2</v>
      </c>
      <c r="BU731" s="299">
        <f t="shared" si="15"/>
        <v>4.7228533192244246E-3</v>
      </c>
      <c r="BV731" s="3"/>
      <c r="BW731" s="3"/>
      <c r="BX731" s="3"/>
      <c r="BY731" s="3"/>
      <c r="BZ731" s="3"/>
      <c r="CA731" s="3"/>
      <c r="CB731" s="3"/>
      <c r="CC731" s="3"/>
      <c r="CE731" s="3"/>
      <c r="CF731" s="3"/>
      <c r="CG731" s="1463">
        <f t="shared" si="37"/>
        <v>0</v>
      </c>
      <c r="CH731" s="1464"/>
      <c r="CI731" s="1469">
        <f t="shared" si="38"/>
        <v>0</v>
      </c>
      <c r="CJ731" s="1470"/>
      <c r="CK731" s="1463">
        <f t="shared" si="16"/>
        <v>1</v>
      </c>
      <c r="CL731" s="1464"/>
      <c r="CM731" s="1469">
        <f t="shared" si="17"/>
        <v>2</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2</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2</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f t="shared" si="33"/>
        <v>1110</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3" customHeight="1">
      <c r="B732" s="1338" t="s">
        <v>164</v>
      </c>
      <c r="C732" s="1339"/>
      <c r="D732" s="1339"/>
      <c r="E732" s="1339"/>
      <c r="F732" s="1340"/>
      <c r="G732" s="1350">
        <v>11</v>
      </c>
      <c r="H732" s="1351"/>
      <c r="I732" s="1351"/>
      <c r="J732" s="1352"/>
      <c r="K732" s="1344">
        <v>1008</v>
      </c>
      <c r="L732" s="1345"/>
      <c r="M732" s="1345"/>
      <c r="N732" s="1346"/>
      <c r="O732" s="1341">
        <v>1920</v>
      </c>
      <c r="P732" s="1342"/>
      <c r="Q732" s="1342"/>
      <c r="R732" s="1342"/>
      <c r="S732" s="1343"/>
      <c r="T732" s="1341">
        <v>104</v>
      </c>
      <c r="U732" s="1342"/>
      <c r="V732" s="1342"/>
      <c r="W732" s="1343"/>
      <c r="X732" s="1353">
        <f t="shared" si="9"/>
        <v>2024</v>
      </c>
      <c r="Y732" s="1354"/>
      <c r="Z732" s="1354"/>
      <c r="AA732" s="1354"/>
      <c r="AB732" s="1355"/>
      <c r="AC732" s="1360">
        <v>0.5</v>
      </c>
      <c r="AD732" s="1361"/>
      <c r="AE732" s="1361"/>
      <c r="AF732" s="1361"/>
      <c r="AG732" s="1362"/>
      <c r="AH732" s="1356">
        <f t="shared" si="36"/>
        <v>0.5</v>
      </c>
      <c r="AI732" s="1357"/>
      <c r="AJ732" s="1358"/>
      <c r="AK732" s="1338" t="s">
        <v>592</v>
      </c>
      <c r="AL732" s="1339"/>
      <c r="AM732" s="1339"/>
      <c r="AN732" s="1339"/>
      <c r="AO732" s="1340"/>
      <c r="AP732" s="3"/>
      <c r="AQ732" s="3"/>
      <c r="AR732" s="3"/>
      <c r="AS732" s="3"/>
      <c r="AY732" s="1087"/>
      <c r="AZ732" s="118">
        <f>IF($G732=0,"N/A",VLOOKUP($T$189,TC_Rent,(MATCH($B732,bedrooms,FALSE)),FALSE))</f>
        <v>4048</v>
      </c>
      <c r="BA732" s="3"/>
      <c r="BB732" s="3"/>
      <c r="BC732" s="3"/>
      <c r="BD732" s="3"/>
      <c r="BE732" s="205"/>
      <c r="BF732" s="295">
        <f t="shared" si="10"/>
        <v>11</v>
      </c>
      <c r="BG732" s="298">
        <f t="shared" si="11"/>
        <v>8.6614173228346455E-2</v>
      </c>
      <c r="BH732" s="299">
        <f t="shared" si="12"/>
        <v>4.3307086614173228E-2</v>
      </c>
      <c r="BI732" s="3"/>
      <c r="BJ732" s="3"/>
      <c r="BK732" s="3"/>
      <c r="BL732" s="3"/>
      <c r="BM732" s="3"/>
      <c r="BN732" s="3"/>
      <c r="BS732" s="295">
        <f t="shared" si="13"/>
        <v>11</v>
      </c>
      <c r="BT732" s="298">
        <f t="shared" si="14"/>
        <v>8.6614173228346455E-2</v>
      </c>
      <c r="BU732" s="299">
        <f t="shared" si="15"/>
        <v>4.3307086614173228E-2</v>
      </c>
      <c r="BV732" s="3"/>
      <c r="BW732" s="3"/>
      <c r="BX732" s="3"/>
      <c r="BY732" s="3"/>
      <c r="BZ732" s="3"/>
      <c r="CA732" s="3"/>
      <c r="CB732" s="3"/>
      <c r="CC732" s="3"/>
      <c r="CE732" s="3"/>
      <c r="CF732" s="3"/>
      <c r="CG732" s="1463">
        <f t="shared" si="37"/>
        <v>1</v>
      </c>
      <c r="CH732" s="1464"/>
      <c r="CI732" s="1469">
        <f t="shared" si="38"/>
        <v>11</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11</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f t="shared" si="33"/>
        <v>1920</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3" customHeight="1">
      <c r="B733" s="1338" t="s">
        <v>164</v>
      </c>
      <c r="C733" s="1339"/>
      <c r="D733" s="1339"/>
      <c r="E733" s="1339"/>
      <c r="F733" s="1340"/>
      <c r="G733" s="1350">
        <v>4</v>
      </c>
      <c r="H733" s="1351"/>
      <c r="I733" s="1351"/>
      <c r="J733" s="1352"/>
      <c r="K733" s="1344">
        <v>1008</v>
      </c>
      <c r="L733" s="1345"/>
      <c r="M733" s="1345"/>
      <c r="N733" s="1346"/>
      <c r="O733" s="1341">
        <v>2325</v>
      </c>
      <c r="P733" s="1342"/>
      <c r="Q733" s="1342"/>
      <c r="R733" s="1342"/>
      <c r="S733" s="1343"/>
      <c r="T733" s="1341">
        <v>104</v>
      </c>
      <c r="U733" s="1342"/>
      <c r="V733" s="1342"/>
      <c r="W733" s="1343"/>
      <c r="X733" s="1353">
        <f t="shared" si="9"/>
        <v>2429</v>
      </c>
      <c r="Y733" s="1354"/>
      <c r="Z733" s="1354"/>
      <c r="AA733" s="1354"/>
      <c r="AB733" s="1355"/>
      <c r="AC733" s="1360">
        <v>0.6</v>
      </c>
      <c r="AD733" s="1361"/>
      <c r="AE733" s="1361"/>
      <c r="AF733" s="1361"/>
      <c r="AG733" s="1362"/>
      <c r="AH733" s="1356">
        <f t="shared" si="36"/>
        <v>0.60004940711462451</v>
      </c>
      <c r="AI733" s="1357"/>
      <c r="AJ733" s="1358"/>
      <c r="AK733" s="1338" t="s">
        <v>592</v>
      </c>
      <c r="AL733" s="1339"/>
      <c r="AM733" s="1339"/>
      <c r="AN733" s="1339"/>
      <c r="AO733" s="1340"/>
      <c r="AP733" s="3"/>
      <c r="AQ733" s="3"/>
      <c r="AR733" s="3"/>
      <c r="AS733" s="3"/>
      <c r="AY733" s="1087"/>
      <c r="AZ733" s="118">
        <f>IF($G733=0,"N/A",VLOOKUP($T$189,TC_Rent,(MATCH($B733,bedrooms,FALSE)),FALSE))</f>
        <v>4048</v>
      </c>
      <c r="BA733" s="3"/>
      <c r="BB733" s="3"/>
      <c r="BC733" s="3"/>
      <c r="BD733" s="3"/>
      <c r="BE733" s="205"/>
      <c r="BF733" s="295">
        <f t="shared" si="10"/>
        <v>4</v>
      </c>
      <c r="BG733" s="298">
        <f t="shared" si="11"/>
        <v>3.1496062992125984E-2</v>
      </c>
      <c r="BH733" s="299">
        <f t="shared" si="12"/>
        <v>1.889763779527559E-2</v>
      </c>
      <c r="BI733" s="3"/>
      <c r="BJ733" s="3"/>
      <c r="BK733" s="3"/>
      <c r="BL733" s="3"/>
      <c r="BM733" s="3"/>
      <c r="BN733" s="3"/>
      <c r="BS733" s="295">
        <f t="shared" si="13"/>
        <v>4</v>
      </c>
      <c r="BT733" s="298">
        <f t="shared" si="14"/>
        <v>3.1496062992125984E-2</v>
      </c>
      <c r="BU733" s="299">
        <f t="shared" si="15"/>
        <v>1.8899193924870064E-2</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4</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f t="shared" si="33"/>
        <v>2325</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3" customHeight="1">
      <c r="B734" s="1338" t="s">
        <v>164</v>
      </c>
      <c r="C734" s="1339"/>
      <c r="D734" s="1339"/>
      <c r="E734" s="1339"/>
      <c r="F734" s="1340"/>
      <c r="G734" s="1350">
        <v>3</v>
      </c>
      <c r="H734" s="1351"/>
      <c r="I734" s="1351"/>
      <c r="J734" s="1352"/>
      <c r="K734" s="1344">
        <v>1008</v>
      </c>
      <c r="L734" s="1345"/>
      <c r="M734" s="1345"/>
      <c r="N734" s="1346"/>
      <c r="O734" s="1341">
        <v>3135</v>
      </c>
      <c r="P734" s="1342"/>
      <c r="Q734" s="1342"/>
      <c r="R734" s="1342"/>
      <c r="S734" s="1343"/>
      <c r="T734" s="1341">
        <v>104</v>
      </c>
      <c r="U734" s="1342"/>
      <c r="V734" s="1342"/>
      <c r="W734" s="1343"/>
      <c r="X734" s="1353">
        <f t="shared" si="9"/>
        <v>3239</v>
      </c>
      <c r="Y734" s="1354"/>
      <c r="Z734" s="1354"/>
      <c r="AA734" s="1354"/>
      <c r="AB734" s="1355"/>
      <c r="AC734" s="1360">
        <v>0.8</v>
      </c>
      <c r="AD734" s="1361"/>
      <c r="AE734" s="1361"/>
      <c r="AF734" s="1361"/>
      <c r="AG734" s="1362"/>
      <c r="AH734" s="1356">
        <f t="shared" si="36"/>
        <v>0.80014822134387353</v>
      </c>
      <c r="AI734" s="1357"/>
      <c r="AJ734" s="1358"/>
      <c r="AK734" s="1338" t="s">
        <v>592</v>
      </c>
      <c r="AL734" s="1339"/>
      <c r="AM734" s="1339"/>
      <c r="AN734" s="1339"/>
      <c r="AO734" s="1340"/>
      <c r="AP734" s="3"/>
      <c r="AQ734" s="3"/>
      <c r="AR734" s="3"/>
      <c r="AS734" s="3"/>
      <c r="AY734" s="1087"/>
      <c r="AZ734" s="118">
        <f>IF($G734=0,"N/A",VLOOKUP($T$189,TC_Rent,(MATCH($B734,bedrooms,FALSE)),FALSE))</f>
        <v>4048</v>
      </c>
      <c r="BA734" s="3"/>
      <c r="BB734" s="3"/>
      <c r="BC734" s="3"/>
      <c r="BD734" s="3"/>
      <c r="BE734" s="205"/>
      <c r="BF734" s="295">
        <f t="shared" si="10"/>
        <v>3</v>
      </c>
      <c r="BG734" s="298">
        <f t="shared" si="11"/>
        <v>2.3622047244094488E-2</v>
      </c>
      <c r="BH734" s="299">
        <f t="shared" si="12"/>
        <v>1.889763779527559E-2</v>
      </c>
      <c r="BI734" s="3"/>
      <c r="BJ734" s="3"/>
      <c r="BK734" s="3"/>
      <c r="BL734" s="3"/>
      <c r="BM734" s="3"/>
      <c r="BN734" s="3"/>
      <c r="BS734" s="295">
        <f t="shared" si="13"/>
        <v>3</v>
      </c>
      <c r="BT734" s="298">
        <f t="shared" si="14"/>
        <v>2.3622047244094488E-2</v>
      </c>
      <c r="BU734" s="299">
        <f t="shared" si="15"/>
        <v>1.8901139086863153E-2</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3</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f t="shared" si="33"/>
        <v>3135</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3"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9"/>
        <v>0</v>
      </c>
      <c r="Y735" s="1354"/>
      <c r="Z735" s="1354"/>
      <c r="AA735" s="1354"/>
      <c r="AB735" s="1355"/>
      <c r="AC735" s="1360"/>
      <c r="AD735" s="1361"/>
      <c r="AE735" s="1361"/>
      <c r="AF735" s="1361"/>
      <c r="AG735" s="1362"/>
      <c r="AH735" s="1356" t="str">
        <f t="shared" si="36"/>
        <v/>
      </c>
      <c r="AI735" s="1357"/>
      <c r="AJ735" s="1358"/>
      <c r="AK735" s="1338" t="s">
        <v>592</v>
      </c>
      <c r="AL735" s="1339"/>
      <c r="AM735" s="1339"/>
      <c r="AN735" s="1339"/>
      <c r="AO735" s="1340"/>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3"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9"/>
        <v>0</v>
      </c>
      <c r="Y736" s="1354"/>
      <c r="Z736" s="1354"/>
      <c r="AA736" s="1354"/>
      <c r="AB736" s="1355"/>
      <c r="AC736" s="1360"/>
      <c r="AD736" s="1361"/>
      <c r="AE736" s="1361"/>
      <c r="AF736" s="1361"/>
      <c r="AG736" s="1362"/>
      <c r="AH736" s="1356" t="str">
        <f t="shared" si="36"/>
        <v/>
      </c>
      <c r="AI736" s="1357"/>
      <c r="AJ736" s="1358"/>
      <c r="AK736" s="1338" t="s">
        <v>592</v>
      </c>
      <c r="AL736" s="1339"/>
      <c r="AM736" s="1339"/>
      <c r="AN736" s="1339"/>
      <c r="AO736" s="1340"/>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3"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9"/>
        <v>0</v>
      </c>
      <c r="Y737" s="1354"/>
      <c r="Z737" s="1354"/>
      <c r="AA737" s="1354"/>
      <c r="AB737" s="1355"/>
      <c r="AC737" s="1360"/>
      <c r="AD737" s="1361"/>
      <c r="AE737" s="1361"/>
      <c r="AF737" s="1361"/>
      <c r="AG737" s="1362"/>
      <c r="AH737" s="1356" t="str">
        <f t="shared" si="36"/>
        <v/>
      </c>
      <c r="AI737" s="1357"/>
      <c r="AJ737" s="1358"/>
      <c r="AK737" s="1338" t="s">
        <v>592</v>
      </c>
      <c r="AL737" s="1339"/>
      <c r="AM737" s="1339"/>
      <c r="AN737" s="1339"/>
      <c r="AO737" s="1340"/>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3"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9"/>
        <v>0</v>
      </c>
      <c r="Y738" s="1354"/>
      <c r="Z738" s="1354"/>
      <c r="AA738" s="1354"/>
      <c r="AB738" s="1355"/>
      <c r="AC738" s="1360"/>
      <c r="AD738" s="1361"/>
      <c r="AE738" s="1361"/>
      <c r="AF738" s="1361"/>
      <c r="AG738" s="1362"/>
      <c r="AH738" s="1356" t="str">
        <f t="shared" si="36"/>
        <v/>
      </c>
      <c r="AI738" s="1357"/>
      <c r="AJ738" s="1358"/>
      <c r="AK738" s="1338" t="s">
        <v>592</v>
      </c>
      <c r="AL738" s="1339"/>
      <c r="AM738" s="1339"/>
      <c r="AN738" s="1339"/>
      <c r="AO738" s="1340"/>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3"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9"/>
        <v>0</v>
      </c>
      <c r="Y739" s="1354"/>
      <c r="Z739" s="1354"/>
      <c r="AA739" s="1354"/>
      <c r="AB739" s="1355"/>
      <c r="AC739" s="1360"/>
      <c r="AD739" s="1361"/>
      <c r="AE739" s="1361"/>
      <c r="AF739" s="1361"/>
      <c r="AG739" s="1362"/>
      <c r="AH739" s="1356" t="str">
        <f t="shared" si="36"/>
        <v/>
      </c>
      <c r="AI739" s="1357"/>
      <c r="AJ739" s="1358"/>
      <c r="AK739" s="1338" t="s">
        <v>592</v>
      </c>
      <c r="AL739" s="1339"/>
      <c r="AM739" s="1339"/>
      <c r="AN739" s="1339"/>
      <c r="AO739" s="1340"/>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3"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9"/>
        <v>0</v>
      </c>
      <c r="Y740" s="1354"/>
      <c r="Z740" s="1354"/>
      <c r="AA740" s="1354"/>
      <c r="AB740" s="1355"/>
      <c r="AC740" s="1360"/>
      <c r="AD740" s="1361"/>
      <c r="AE740" s="1361"/>
      <c r="AF740" s="1361"/>
      <c r="AG740" s="1362"/>
      <c r="AH740" s="1356" t="str">
        <f t="shared" si="36"/>
        <v/>
      </c>
      <c r="AI740" s="1357"/>
      <c r="AJ740" s="1358"/>
      <c r="AK740" s="1338" t="s">
        <v>592</v>
      </c>
      <c r="AL740" s="1339"/>
      <c r="AM740" s="1339"/>
      <c r="AN740" s="1339"/>
      <c r="AO740" s="1340"/>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3"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9"/>
        <v>0</v>
      </c>
      <c r="Y741" s="1354"/>
      <c r="Z741" s="1354"/>
      <c r="AA741" s="1354"/>
      <c r="AB741" s="1355"/>
      <c r="AC741" s="1360"/>
      <c r="AD741" s="1361"/>
      <c r="AE741" s="1361"/>
      <c r="AF741" s="1361"/>
      <c r="AG741" s="1362"/>
      <c r="AH741" s="1356" t="str">
        <f t="shared" si="36"/>
        <v/>
      </c>
      <c r="AI741" s="1357"/>
      <c r="AJ741" s="1358"/>
      <c r="AK741" s="1338" t="s">
        <v>592</v>
      </c>
      <c r="AL741" s="1339"/>
      <c r="AM741" s="1339"/>
      <c r="AN741" s="1339"/>
      <c r="AO741" s="1340"/>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3"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592</v>
      </c>
      <c r="AL742" s="1339"/>
      <c r="AM742" s="1339"/>
      <c r="AN742" s="1339"/>
      <c r="AO742" s="1340"/>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3"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592</v>
      </c>
      <c r="AL743" s="1339"/>
      <c r="AM743" s="1339"/>
      <c r="AN743" s="1339"/>
      <c r="AO743" s="1340"/>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3"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592</v>
      </c>
      <c r="AL744" s="1339"/>
      <c r="AM744" s="1339"/>
      <c r="AN744" s="1339"/>
      <c r="AO744" s="1340"/>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3"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592</v>
      </c>
      <c r="AL745" s="1339"/>
      <c r="AM745" s="1339"/>
      <c r="AN745" s="1339"/>
      <c r="AO745" s="1340"/>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3"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592</v>
      </c>
      <c r="AL746" s="1339"/>
      <c r="AM746" s="1339"/>
      <c r="AN746" s="1339"/>
      <c r="AO746" s="1340"/>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3"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592</v>
      </c>
      <c r="AL747" s="1339"/>
      <c r="AM747" s="1339"/>
      <c r="AN747" s="1339"/>
      <c r="AO747" s="1340"/>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3"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592</v>
      </c>
      <c r="AL748" s="1339"/>
      <c r="AM748" s="1339"/>
      <c r="AN748" s="1339"/>
      <c r="AO748" s="1340"/>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3"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592</v>
      </c>
      <c r="AL749" s="1339"/>
      <c r="AM749" s="1339"/>
      <c r="AN749" s="1339"/>
      <c r="AO749" s="1340"/>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3"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592</v>
      </c>
      <c r="AL750" s="1339"/>
      <c r="AM750" s="1339"/>
      <c r="AN750" s="1339"/>
      <c r="AO750" s="1340"/>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3"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592</v>
      </c>
      <c r="AL751" s="1339"/>
      <c r="AM751" s="1339"/>
      <c r="AN751" s="1339"/>
      <c r="AO751" s="1340"/>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3"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592</v>
      </c>
      <c r="AL752" s="1339"/>
      <c r="AM752" s="1339"/>
      <c r="AN752" s="1339"/>
      <c r="AO752" s="1340"/>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3" customHeight="1">
      <c r="A753"/>
      <c r="B753" s="1449" t="s">
        <v>125</v>
      </c>
      <c r="C753" s="1450"/>
      <c r="D753" s="1450"/>
      <c r="E753" s="1450"/>
      <c r="F753" s="1451"/>
      <c r="G753" s="1621">
        <f>SUM(G718:G752)</f>
        <v>127</v>
      </c>
      <c r="H753" s="1622"/>
      <c r="I753" s="1622"/>
      <c r="J753" s="1623"/>
      <c r="K753" s="903" t="s">
        <v>124</v>
      </c>
      <c r="L753" s="5"/>
      <c r="M753" s="5"/>
      <c r="N753" s="46"/>
      <c r="O753" s="1353">
        <f>SUMPRODUCT(G718:G752,O718:O752)</f>
        <v>184101</v>
      </c>
      <c r="P753" s="1354"/>
      <c r="Q753" s="1354"/>
      <c r="R753" s="1354"/>
      <c r="S753" s="1355"/>
      <c r="T753"/>
      <c r="U753"/>
      <c r="V753"/>
      <c r="W753"/>
      <c r="X753" s="905" t="s">
        <v>901</v>
      </c>
      <c r="Y753" s="904"/>
      <c r="Z753" s="904"/>
      <c r="AA753" s="904"/>
      <c r="AB753" s="906"/>
      <c r="AC753" s="1604">
        <f>BH753</f>
        <v>0.47322834645669298</v>
      </c>
      <c r="AD753" s="1605"/>
      <c r="AE753" s="1605"/>
      <c r="AF753" s="1605"/>
      <c r="AG753" s="1606"/>
      <c r="AH753" s="1604">
        <f>IFERROR(BU753,"")</f>
        <v>0.47324854199847338</v>
      </c>
      <c r="AI753" s="1605"/>
      <c r="AJ753" s="1606"/>
      <c r="AK753"/>
      <c r="AL753"/>
      <c r="AM753"/>
      <c r="AN753"/>
      <c r="AO753"/>
      <c r="AP753" s="206"/>
      <c r="AQ753" s="206"/>
      <c r="AR753" s="206"/>
      <c r="AS753" s="206"/>
      <c r="AT753"/>
      <c r="AU753"/>
      <c r="AV753"/>
      <c r="AW753"/>
      <c r="AX753"/>
      <c r="AY753"/>
      <c r="AZ753" s="34"/>
      <c r="BA753" s="34"/>
      <c r="BB753" s="34"/>
      <c r="BC753" s="34"/>
      <c r="BE753" s="291" t="s">
        <v>900</v>
      </c>
      <c r="BF753" s="300">
        <f>SUM(BF718:BF752)</f>
        <v>127</v>
      </c>
      <c r="BG753" s="301">
        <f>SUM(BG718:BG752)</f>
        <v>0.99999999999999978</v>
      </c>
      <c r="BH753" s="301">
        <f>SUM(BH718:BH752)</f>
        <v>0.47322834645669298</v>
      </c>
      <c r="BI753"/>
      <c r="BJ753"/>
      <c r="BK753"/>
      <c r="BL753"/>
      <c r="BO753"/>
      <c r="BP753"/>
      <c r="BQ753"/>
      <c r="BR753"/>
      <c r="BS753" s="860">
        <f>SUM(BS718:BS752)</f>
        <v>127</v>
      </c>
      <c r="BT753" s="301">
        <f>SUM(BT718:BT752)</f>
        <v>0.99999999999999978</v>
      </c>
      <c r="BU753" s="301">
        <f>SUM(BU718:BU752)</f>
        <v>0.47324854199847338</v>
      </c>
      <c r="CI753" s="1463">
        <f>SUM(CI718:CJ752)</f>
        <v>59</v>
      </c>
      <c r="CJ753" s="1464"/>
      <c r="CM753" s="1463">
        <f>SUM(CM718:CN752)</f>
        <v>35</v>
      </c>
      <c r="CN753" s="1464"/>
      <c r="CP753" s="1463">
        <f>SUM(CP718:CT752)</f>
        <v>36</v>
      </c>
      <c r="CQ753" s="1465"/>
      <c r="CR753" s="1465"/>
      <c r="CS753" s="1465"/>
      <c r="CT753" s="1464"/>
      <c r="CU753" s="1461">
        <f>SUM(CU718:CY752)</f>
        <v>44</v>
      </c>
      <c r="CV753" s="1461"/>
      <c r="CW753" s="1461"/>
      <c r="CX753" s="1461"/>
      <c r="CY753" s="1461"/>
      <c r="CZ753" s="1461">
        <f>SUM(CZ718:DD752)</f>
        <v>27</v>
      </c>
      <c r="DA753" s="1461"/>
      <c r="DB753" s="1461"/>
      <c r="DC753" s="1461"/>
      <c r="DD753" s="1461"/>
      <c r="DE753" s="1461">
        <f>SUM(DE718:DI752)</f>
        <v>20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21</v>
      </c>
      <c r="DV753" s="1461"/>
      <c r="DW753" s="1461"/>
      <c r="DX753" s="1461"/>
      <c r="DY753" s="1461"/>
      <c r="DZ753" s="1461">
        <f>SUM(DZ718:ED752)</f>
        <v>9</v>
      </c>
      <c r="EA753" s="1461"/>
      <c r="EB753" s="1461"/>
      <c r="EC753" s="1461"/>
      <c r="ED753" s="1461"/>
      <c r="EE753" s="1461">
        <f>SUM(EE718:EI752)</f>
        <v>3</v>
      </c>
      <c r="EF753" s="1461"/>
      <c r="EG753" s="1461"/>
      <c r="EH753" s="1461"/>
      <c r="EI753" s="1461"/>
      <c r="EJ753" s="1461">
        <f>SUM(EJ718:EN752)</f>
        <v>2</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4135</v>
      </c>
      <c r="FA753" s="1461"/>
      <c r="FB753" s="1461"/>
      <c r="FC753" s="1461"/>
      <c r="FD753" s="1461"/>
      <c r="FE753" s="1461">
        <f>SUM(FE718:FI752)</f>
        <v>6658</v>
      </c>
      <c r="FF753" s="1461"/>
      <c r="FG753" s="1461"/>
      <c r="FH753" s="1461"/>
      <c r="FI753" s="1461"/>
      <c r="FJ753" s="1461">
        <f>SUM(FJ718:FN752)</f>
        <v>7366</v>
      </c>
      <c r="FK753" s="1461"/>
      <c r="FL753" s="1461"/>
      <c r="FM753" s="1461"/>
      <c r="FN753" s="1461"/>
      <c r="FO753" s="1461">
        <f>SUM(FO718:FS752)</f>
        <v>8490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127</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36</v>
      </c>
      <c r="CU755" s="3"/>
      <c r="CV755" s="3"/>
      <c r="CW755" s="3"/>
      <c r="CX755" s="3"/>
      <c r="CY755" s="862">
        <f>CU753*1</f>
        <v>44</v>
      </c>
      <c r="CZ755" s="3"/>
      <c r="DA755" s="3"/>
      <c r="DB755" s="3"/>
      <c r="DC755" s="3"/>
      <c r="DD755" s="862">
        <f>CZ753*2</f>
        <v>54</v>
      </c>
      <c r="DE755" s="3"/>
      <c r="DF755" s="3"/>
      <c r="DG755" s="3"/>
      <c r="DH755" s="3"/>
      <c r="DI755" s="862">
        <f>DE753*3</f>
        <v>60</v>
      </c>
      <c r="DJ755" s="3"/>
      <c r="DK755" s="3"/>
      <c r="DL755" s="3"/>
      <c r="DM755" s="3"/>
      <c r="DN755" s="862">
        <f>DJ753*4</f>
        <v>0</v>
      </c>
      <c r="DO755" s="3"/>
      <c r="DP755" s="3"/>
      <c r="DQ755" s="3"/>
      <c r="DR755" s="3"/>
      <c r="DS755" s="862">
        <f>DO753*5</f>
        <v>0</v>
      </c>
      <c r="DU755" s="862">
        <f>CT755+CY755+DD755+DI755+DN755+DS755</f>
        <v>194</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1">
        <f>DU755</f>
        <v>194</v>
      </c>
      <c r="P756" s="1461"/>
      <c r="Q756" s="1461"/>
      <c r="R756" s="1461"/>
      <c r="S756" s="970"/>
      <c r="T756" s="970"/>
      <c r="U756" s="118" t="s">
        <v>1894</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592</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8" t="s">
        <v>2092</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8" t="s">
        <v>2093</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389</v>
      </c>
      <c r="K769" s="1364"/>
      <c r="L769" s="1364"/>
      <c r="M769" s="1364"/>
      <c r="N769" s="1365"/>
      <c r="O769" s="1619" t="s">
        <v>285</v>
      </c>
      <c r="P769" s="1619"/>
      <c r="Q769" s="1619"/>
      <c r="R769" s="1619"/>
      <c r="S769" s="1619"/>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8" t="s">
        <v>163</v>
      </c>
      <c r="K773" s="1339"/>
      <c r="L773" s="1339"/>
      <c r="M773" s="1339"/>
      <c r="N773" s="1340"/>
      <c r="O773" s="1613">
        <v>1</v>
      </c>
      <c r="P773" s="1613"/>
      <c r="Q773" s="1613"/>
      <c r="R773" s="1613"/>
      <c r="S773" s="1613"/>
      <c r="T773" s="1344">
        <v>896</v>
      </c>
      <c r="U773" s="1345"/>
      <c r="V773" s="1345"/>
      <c r="W773" s="1346"/>
      <c r="X773" s="1341">
        <v>0</v>
      </c>
      <c r="Y773" s="1342"/>
      <c r="Z773" s="1342"/>
      <c r="AA773" s="1342"/>
      <c r="AB773" s="1343"/>
      <c r="AC773" s="1353">
        <f>X773*O773</f>
        <v>0</v>
      </c>
      <c r="AD773" s="1354"/>
      <c r="AE773" s="1354"/>
      <c r="AF773" s="1354"/>
      <c r="AG773" s="135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0</v>
      </c>
      <c r="AD777" s="1354"/>
      <c r="AE777" s="1354"/>
      <c r="AF777" s="1354"/>
      <c r="AG777" s="135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3"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389</v>
      </c>
      <c r="K783" s="1364"/>
      <c r="L783" s="1364"/>
      <c r="M783" s="1364"/>
      <c r="N783" s="1365"/>
      <c r="O783" s="1619" t="s">
        <v>285</v>
      </c>
      <c r="P783" s="1619"/>
      <c r="Q783" s="1619"/>
      <c r="R783" s="1619"/>
      <c r="S783" s="1619"/>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3"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3"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3"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3"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3"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3"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3"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3"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3"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3"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184101</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2209212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36</v>
      </c>
      <c r="CQ802" s="1473"/>
      <c r="CR802" s="1473"/>
      <c r="CS802" s="1473"/>
      <c r="CT802" s="1474"/>
      <c r="CU802" s="1472">
        <f>CU753+CU777+CU797</f>
        <v>44</v>
      </c>
      <c r="CV802" s="1473"/>
      <c r="CW802" s="1473"/>
      <c r="CX802" s="1473"/>
      <c r="CY802" s="1474"/>
      <c r="CZ802" s="1472">
        <f>CZ753+CZ777+CZ797</f>
        <v>28</v>
      </c>
      <c r="DA802" s="1473"/>
      <c r="DB802" s="1473"/>
      <c r="DC802" s="1473"/>
      <c r="DD802" s="1474"/>
      <c r="DE802" s="1472">
        <f>DE753+DE777+DE797</f>
        <v>20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194</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9049</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9049</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2218261</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8" t="s">
        <v>40</v>
      </c>
      <c r="D825" s="1359"/>
      <c r="E825" s="1359"/>
      <c r="F825" s="1359"/>
      <c r="G825" s="1359"/>
      <c r="H825" s="1359"/>
      <c r="I825" s="48"/>
      <c r="J825" s="48"/>
      <c r="K825" s="48"/>
      <c r="L825" s="49"/>
      <c r="M825" s="1642">
        <v>0.19</v>
      </c>
      <c r="N825" s="1642"/>
      <c r="O825" s="1642"/>
      <c r="P825" s="1642"/>
      <c r="Q825" s="1642">
        <v>0.33</v>
      </c>
      <c r="R825" s="1642"/>
      <c r="S825" s="1642"/>
      <c r="T825" s="1642"/>
      <c r="U825" s="1642">
        <v>0.56999999999999995</v>
      </c>
      <c r="V825" s="1642"/>
      <c r="W825" s="1642"/>
      <c r="X825" s="1642"/>
      <c r="Y825" s="1642">
        <v>1.93</v>
      </c>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v>6.09</v>
      </c>
      <c r="N827" s="1642"/>
      <c r="O827" s="1642"/>
      <c r="P827" s="1642"/>
      <c r="Q827" s="1642">
        <v>6.87</v>
      </c>
      <c r="R827" s="1642"/>
      <c r="S827" s="1642"/>
      <c r="T827" s="1642"/>
      <c r="U827" s="1642">
        <v>7.71</v>
      </c>
      <c r="V827" s="1642"/>
      <c r="W827" s="1642"/>
      <c r="X827" s="1642"/>
      <c r="Y827" s="1642">
        <v>8.61</v>
      </c>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763</v>
      </c>
      <c r="D828" s="1626"/>
      <c r="E828" s="1626"/>
      <c r="F828" s="1626"/>
      <c r="G828" s="1626"/>
      <c r="H828" s="1626"/>
      <c r="I828" s="60"/>
      <c r="J828" s="60"/>
      <c r="K828" s="60"/>
      <c r="L828" s="61"/>
      <c r="M828" s="1642">
        <v>3.34</v>
      </c>
      <c r="N828" s="1642"/>
      <c r="O828" s="1642"/>
      <c r="P828" s="1642"/>
      <c r="Q828" s="1642">
        <v>5.18</v>
      </c>
      <c r="R828" s="1642"/>
      <c r="S828" s="1642"/>
      <c r="T828" s="1642"/>
      <c r="U828" s="1642">
        <v>7.8</v>
      </c>
      <c r="V828" s="1642"/>
      <c r="W828" s="1642"/>
      <c r="X828" s="1642"/>
      <c r="Y828" s="1642">
        <v>11.27</v>
      </c>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460</v>
      </c>
      <c r="D829" s="1626"/>
      <c r="E829" s="1626"/>
      <c r="F829" s="1626"/>
      <c r="G829" s="1626"/>
      <c r="H829" s="1626"/>
      <c r="I829" s="60"/>
      <c r="J829" s="60"/>
      <c r="K829" s="60"/>
      <c r="L829" s="61"/>
      <c r="M829" s="1642">
        <v>43.53</v>
      </c>
      <c r="N829" s="1642"/>
      <c r="O829" s="1642"/>
      <c r="P829" s="1642"/>
      <c r="Q829" s="1642">
        <v>54.54</v>
      </c>
      <c r="R829" s="1642"/>
      <c r="S829" s="1642"/>
      <c r="T829" s="1642"/>
      <c r="U829" s="1642">
        <v>66.5</v>
      </c>
      <c r="V829" s="1642"/>
      <c r="W829" s="1642"/>
      <c r="X829" s="1642"/>
      <c r="Y829" s="1642">
        <v>78.61</v>
      </c>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784</v>
      </c>
      <c r="D830" s="1626"/>
      <c r="E830" s="1626"/>
      <c r="F830" s="1626"/>
      <c r="G830" s="1626"/>
      <c r="H830" s="1626"/>
      <c r="I830" s="60"/>
      <c r="J830" s="60"/>
      <c r="K830" s="60"/>
      <c r="L830" s="61"/>
      <c r="M830" s="1642">
        <v>2.7</v>
      </c>
      <c r="N830" s="1642"/>
      <c r="O830" s="1642"/>
      <c r="P830" s="1642"/>
      <c r="Q830" s="1642">
        <v>2.71</v>
      </c>
      <c r="R830" s="1642"/>
      <c r="S830" s="1642"/>
      <c r="T830" s="1642"/>
      <c r="U830" s="1642">
        <v>3.26</v>
      </c>
      <c r="V830" s="1642"/>
      <c r="W830" s="1642"/>
      <c r="X830" s="1642"/>
      <c r="Y830" s="1642">
        <v>3.53</v>
      </c>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9" t="s">
        <v>124</v>
      </c>
      <c r="D832" s="1450"/>
      <c r="E832" s="1450"/>
      <c r="F832" s="1450"/>
      <c r="G832" s="1450"/>
      <c r="H832" s="1450"/>
      <c r="I832" s="1450"/>
      <c r="J832" s="1450"/>
      <c r="K832" s="1450"/>
      <c r="L832" s="1451"/>
      <c r="M832" s="1636">
        <f>SUM(M825:P831)</f>
        <v>55.850000000000009</v>
      </c>
      <c r="N832" s="1636"/>
      <c r="O832" s="1636"/>
      <c r="P832" s="1636"/>
      <c r="Q832" s="1636">
        <f>SUM(Q825:T831)</f>
        <v>69.63</v>
      </c>
      <c r="R832" s="1636"/>
      <c r="S832" s="1636"/>
      <c r="T832" s="1636"/>
      <c r="U832" s="1636">
        <f>SUM(U825:X831)</f>
        <v>85.84</v>
      </c>
      <c r="V832" s="1636"/>
      <c r="W832" s="1636"/>
      <c r="X832" s="1636"/>
      <c r="Y832" s="1636">
        <f>SUM(Y825:AB831)</f>
        <v>103.95</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2737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1">
        <v>4000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1">
        <v>7500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1">
        <v>35968</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1">
        <v>100000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 customHeight="1">
      <c r="J846" s="45" t="s">
        <v>170</v>
      </c>
      <c r="K846" s="5"/>
      <c r="L846" s="5"/>
      <c r="M846" s="1593" t="s">
        <v>2738</v>
      </c>
      <c r="N846" s="1594"/>
      <c r="O846" s="1594"/>
      <c r="P846" s="1594"/>
      <c r="Q846" s="1594"/>
      <c r="R846" s="1594"/>
      <c r="S846" s="1594"/>
      <c r="T846" s="1594"/>
      <c r="U846" s="1594"/>
      <c r="V846" s="1595"/>
      <c r="W846" s="1481">
        <f>13500+24600+1800+750+4000+4000</f>
        <v>48650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5">
        <f>SUM(W842:AC846)</f>
        <v>196118</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344</v>
      </c>
      <c r="J849" s="1449" t="s">
        <v>345</v>
      </c>
      <c r="K849" s="1450"/>
      <c r="L849" s="1450"/>
      <c r="M849" s="1450"/>
      <c r="N849" s="1450"/>
      <c r="O849" s="1450"/>
      <c r="P849" s="1450"/>
      <c r="Q849" s="1450"/>
      <c r="R849" s="1450"/>
      <c r="S849" s="1450"/>
      <c r="T849" s="1450"/>
      <c r="U849" s="1450"/>
      <c r="V849" s="1451"/>
      <c r="W849" s="1466">
        <v>115200</v>
      </c>
      <c r="X849" s="1467"/>
      <c r="Y849" s="1467"/>
      <c r="Z849" s="1467"/>
      <c r="AA849" s="1467"/>
      <c r="AB849" s="1467"/>
      <c r="AC849" s="1468"/>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1">
        <v>0</v>
      </c>
      <c r="X851" s="1651"/>
      <c r="Y851" s="1651"/>
      <c r="Z851" s="1651"/>
      <c r="AA851" s="1651"/>
      <c r="AB851" s="1651"/>
      <c r="AC851" s="1651"/>
      <c r="AZ851" s="1718"/>
      <c r="BA851" s="1718"/>
      <c r="BB851" s="14"/>
      <c r="BC851" s="14"/>
    </row>
    <row r="852" spans="3:55" ht="13" customHeight="1">
      <c r="J852" s="45" t="s">
        <v>351</v>
      </c>
      <c r="K852" s="5"/>
      <c r="L852" s="5"/>
      <c r="M852" s="5"/>
      <c r="N852" s="5"/>
      <c r="O852" s="5"/>
      <c r="P852" s="5"/>
      <c r="Q852" s="5"/>
      <c r="R852" s="5"/>
      <c r="S852" s="5"/>
      <c r="T852" s="5"/>
      <c r="U852" s="5"/>
      <c r="V852" s="46"/>
      <c r="W852" s="1651">
        <v>0</v>
      </c>
      <c r="X852" s="1651"/>
      <c r="Y852" s="1651"/>
      <c r="Z852" s="1651"/>
      <c r="AA852" s="1651"/>
      <c r="AB852" s="1651"/>
      <c r="AC852" s="1651"/>
      <c r="AZ852" s="30"/>
      <c r="BA852" s="30"/>
      <c r="BB852" s="14"/>
      <c r="BC852" s="14"/>
    </row>
    <row r="853" spans="3:55" ht="13" customHeight="1">
      <c r="J853" s="45" t="s">
        <v>460</v>
      </c>
      <c r="K853" s="5"/>
      <c r="L853" s="5"/>
      <c r="M853" s="5"/>
      <c r="N853" s="5"/>
      <c r="O853" s="5"/>
      <c r="P853" s="5"/>
      <c r="Q853" s="5"/>
      <c r="R853" s="5"/>
      <c r="S853" s="5"/>
      <c r="T853" s="5"/>
      <c r="U853" s="5"/>
      <c r="V853" s="46"/>
      <c r="W853" s="1651">
        <f>87397+30847</f>
        <v>118244</v>
      </c>
      <c r="X853" s="1651"/>
      <c r="Y853" s="1651"/>
      <c r="Z853" s="1651"/>
      <c r="AA853" s="1651"/>
      <c r="AB853" s="1651"/>
      <c r="AC853" s="1651"/>
      <c r="AZ853" s="30"/>
      <c r="BA853" s="30"/>
      <c r="BB853" s="14"/>
      <c r="BC853" s="14"/>
    </row>
    <row r="854" spans="3:55" ht="13" customHeight="1">
      <c r="J854" s="62" t="s">
        <v>621</v>
      </c>
      <c r="K854" s="5"/>
      <c r="L854" s="5"/>
      <c r="M854" s="5"/>
      <c r="N854" s="5"/>
      <c r="O854" s="5"/>
      <c r="P854" s="5"/>
      <c r="Q854" s="5"/>
      <c r="R854" s="5"/>
      <c r="S854" s="5"/>
      <c r="T854" s="5"/>
      <c r="U854" s="5"/>
      <c r="V854" s="46"/>
      <c r="W854" s="1651">
        <f>63700+62199</f>
        <v>125899</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SUM(W851:AC854)</f>
        <v>244143</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0">
        <v>129800</v>
      </c>
      <c r="X857" s="1631"/>
      <c r="Y857" s="1631"/>
      <c r="Z857" s="1631"/>
      <c r="AA857" s="1631"/>
      <c r="AB857" s="1631"/>
      <c r="AC857" s="1632"/>
      <c r="AD857" s="529"/>
      <c r="AZ857" s="34"/>
      <c r="BA857" s="34"/>
      <c r="BB857" s="34"/>
      <c r="BC857" s="34"/>
    </row>
    <row r="858" spans="3:55" ht="13" customHeight="1">
      <c r="C858" s="2" t="s">
        <v>347</v>
      </c>
      <c r="J858" s="121" t="s">
        <v>1656</v>
      </c>
      <c r="K858" s="5"/>
      <c r="L858" s="5"/>
      <c r="M858" s="5"/>
      <c r="N858" s="5"/>
      <c r="O858" s="5"/>
      <c r="P858" s="5"/>
      <c r="Q858" s="5"/>
      <c r="R858" s="5"/>
      <c r="S858" s="5"/>
      <c r="T858" s="1709">
        <v>2</v>
      </c>
      <c r="U858" s="1696"/>
      <c r="V858" s="1710"/>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0">
        <v>172080</v>
      </c>
      <c r="X859" s="1631"/>
      <c r="Y859" s="1631"/>
      <c r="Z859" s="1631"/>
      <c r="AA859" s="1631"/>
      <c r="AB859" s="1631"/>
      <c r="AC859" s="1632"/>
      <c r="AD859" s="534"/>
      <c r="AZ859" s="34"/>
      <c r="BA859" s="34"/>
      <c r="BB859" s="34"/>
      <c r="BC859" s="34"/>
    </row>
    <row r="860" spans="3:55" ht="13" customHeight="1">
      <c r="C860" s="2"/>
      <c r="J860" s="121" t="s">
        <v>1657</v>
      </c>
      <c r="K860" s="5"/>
      <c r="L860" s="5"/>
      <c r="M860" s="5"/>
      <c r="N860" s="5"/>
      <c r="O860" s="5"/>
      <c r="P860" s="5"/>
      <c r="Q860" s="5"/>
      <c r="R860" s="5"/>
      <c r="S860" s="5"/>
      <c r="T860" s="1709">
        <v>1</v>
      </c>
      <c r="U860" s="1696"/>
      <c r="V860" s="1710"/>
      <c r="W860" s="875"/>
      <c r="X860" s="876"/>
      <c r="Y860" s="876"/>
      <c r="Z860" s="876"/>
      <c r="AA860" s="876"/>
      <c r="AB860" s="876"/>
      <c r="AC860" s="877"/>
      <c r="AD860" s="534"/>
      <c r="AZ860" s="34"/>
      <c r="BA860" s="34"/>
      <c r="BB860" s="34"/>
      <c r="BC860" s="34"/>
    </row>
    <row r="861" spans="3:55" ht="13" customHeight="1">
      <c r="J861" s="45" t="s">
        <v>170</v>
      </c>
      <c r="K861" s="5"/>
      <c r="L861" s="5"/>
      <c r="M861" s="1593" t="s">
        <v>2739</v>
      </c>
      <c r="N861" s="1594"/>
      <c r="O861" s="1594"/>
      <c r="P861" s="1594"/>
      <c r="Q861" s="1594"/>
      <c r="R861" s="1594"/>
      <c r="S861" s="1594"/>
      <c r="T861" s="1594"/>
      <c r="U861" s="1594"/>
      <c r="V861" s="1595"/>
      <c r="W861" s="1630">
        <v>83008</v>
      </c>
      <c r="X861" s="1631"/>
      <c r="Y861" s="1631"/>
      <c r="Z861" s="1631"/>
      <c r="AA861" s="1631"/>
      <c r="AB861" s="1631"/>
      <c r="AC861" s="1632"/>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1">
        <f>SUM(W857:AC861)</f>
        <v>384888</v>
      </c>
      <c r="X862" s="1712"/>
      <c r="Y862" s="1712"/>
      <c r="Z862" s="1712"/>
      <c r="AA862" s="1712"/>
      <c r="AB862" s="1712"/>
      <c r="AC862" s="1713"/>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0">
        <v>169500</v>
      </c>
      <c r="X863" s="1631"/>
      <c r="Y863" s="1631"/>
      <c r="Z863" s="1631"/>
      <c r="AA863" s="1631"/>
      <c r="AB863" s="1631"/>
      <c r="AC863" s="1632"/>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1">
        <v>2000</v>
      </c>
      <c r="X865" s="1481"/>
      <c r="Y865" s="1481"/>
      <c r="Z865" s="1481"/>
      <c r="AA865" s="1481"/>
      <c r="AB865" s="1481"/>
      <c r="AC865" s="1481"/>
      <c r="AU865" s="14"/>
      <c r="AZ865" s="34"/>
      <c r="BA865" s="34"/>
      <c r="BB865" s="34"/>
      <c r="BC865" s="34"/>
    </row>
    <row r="866" spans="3:55" ht="13" customHeight="1">
      <c r="J866" s="45" t="s">
        <v>523</v>
      </c>
      <c r="K866" s="5"/>
      <c r="L866" s="5"/>
      <c r="M866" s="5"/>
      <c r="N866" s="5"/>
      <c r="O866" s="5"/>
      <c r="P866" s="5"/>
      <c r="Q866" s="5"/>
      <c r="R866" s="5"/>
      <c r="S866" s="5"/>
      <c r="T866" s="5"/>
      <c r="U866" s="5"/>
      <c r="V866" s="46"/>
      <c r="W866" s="1481">
        <v>135800</v>
      </c>
      <c r="X866" s="1481"/>
      <c r="Y866" s="1481"/>
      <c r="Z866" s="1481"/>
      <c r="AA866" s="1481"/>
      <c r="AB866" s="1481"/>
      <c r="AC866" s="1481"/>
      <c r="AU866" s="4"/>
      <c r="AZ866" s="34"/>
      <c r="BA866" s="34"/>
      <c r="BB866" s="34"/>
      <c r="BC866" s="34"/>
    </row>
    <row r="867" spans="3:55" ht="13" customHeight="1">
      <c r="J867" s="45" t="s">
        <v>522</v>
      </c>
      <c r="K867" s="5"/>
      <c r="L867" s="5"/>
      <c r="M867" s="5"/>
      <c r="N867" s="5"/>
      <c r="O867" s="5"/>
      <c r="P867" s="5"/>
      <c r="Q867" s="5"/>
      <c r="R867" s="5"/>
      <c r="S867" s="5"/>
      <c r="T867" s="5"/>
      <c r="U867" s="5"/>
      <c r="V867" s="46"/>
      <c r="W867" s="1481">
        <v>76440</v>
      </c>
      <c r="X867" s="1481"/>
      <c r="Y867" s="1481"/>
      <c r="Z867" s="1481"/>
      <c r="AA867" s="1481"/>
      <c r="AB867" s="1481"/>
      <c r="AC867" s="1481"/>
      <c r="AU867" s="4"/>
      <c r="AZ867" s="34"/>
      <c r="BA867" s="34"/>
      <c r="BB867" s="34"/>
      <c r="BC867" s="34"/>
    </row>
    <row r="868" spans="3:55" ht="13" customHeight="1">
      <c r="J868" s="45" t="s">
        <v>521</v>
      </c>
      <c r="K868" s="5"/>
      <c r="L868" s="5"/>
      <c r="M868" s="5"/>
      <c r="N868" s="5"/>
      <c r="O868" s="5"/>
      <c r="P868" s="5"/>
      <c r="Q868" s="5"/>
      <c r="R868" s="5"/>
      <c r="S868" s="5"/>
      <c r="T868" s="5"/>
      <c r="U868" s="5"/>
      <c r="V868" s="46"/>
      <c r="W868" s="1481">
        <v>7200</v>
      </c>
      <c r="X868" s="1481"/>
      <c r="Y868" s="1481"/>
      <c r="Z868" s="1481"/>
      <c r="AA868" s="1481"/>
      <c r="AB868" s="1481"/>
      <c r="AC868" s="1481"/>
      <c r="AU868" s="4"/>
      <c r="AZ868" s="34"/>
      <c r="BA868" s="34"/>
      <c r="BB868" s="34"/>
      <c r="BC868" s="34"/>
    </row>
    <row r="869" spans="3:55" ht="13" customHeight="1">
      <c r="J869" s="45" t="s">
        <v>520</v>
      </c>
      <c r="K869" s="5"/>
      <c r="L869" s="5"/>
      <c r="M869" s="5"/>
      <c r="N869" s="5"/>
      <c r="O869" s="5"/>
      <c r="P869" s="5"/>
      <c r="Q869" s="5"/>
      <c r="R869" s="5"/>
      <c r="S869" s="5"/>
      <c r="T869" s="5"/>
      <c r="U869" s="5"/>
      <c r="V869" s="46"/>
      <c r="W869" s="1481">
        <v>7800</v>
      </c>
      <c r="X869" s="1481"/>
      <c r="Y869" s="1481"/>
      <c r="Z869" s="1481"/>
      <c r="AA869" s="1481"/>
      <c r="AB869" s="1481"/>
      <c r="AC869" s="1481"/>
      <c r="AU869" s="4"/>
      <c r="AZ869" s="34"/>
      <c r="BA869" s="34"/>
      <c r="BB869" s="34"/>
      <c r="BC869" s="34"/>
    </row>
    <row r="870" spans="3:55" ht="13" customHeight="1">
      <c r="J870" s="45" t="s">
        <v>519</v>
      </c>
      <c r="K870" s="5"/>
      <c r="L870" s="5"/>
      <c r="M870" s="5"/>
      <c r="N870" s="5"/>
      <c r="O870" s="5"/>
      <c r="P870" s="5"/>
      <c r="Q870" s="5"/>
      <c r="R870" s="5"/>
      <c r="S870" s="5"/>
      <c r="T870" s="5"/>
      <c r="U870" s="5"/>
      <c r="V870" s="46"/>
      <c r="W870" s="1481">
        <v>17400</v>
      </c>
      <c r="X870" s="1481"/>
      <c r="Y870" s="1481"/>
      <c r="Z870" s="1481"/>
      <c r="AA870" s="1481"/>
      <c r="AB870" s="1481"/>
      <c r="AC870" s="1481"/>
      <c r="AU870" s="4"/>
      <c r="AZ870" s="34"/>
      <c r="BA870" s="34"/>
      <c r="BB870" s="34"/>
      <c r="BC870" s="34"/>
    </row>
    <row r="871" spans="3:55" ht="13" customHeight="1">
      <c r="J871" s="45" t="s">
        <v>170</v>
      </c>
      <c r="K871" s="5"/>
      <c r="L871" s="5"/>
      <c r="M871" s="1593" t="s">
        <v>2740</v>
      </c>
      <c r="N871" s="1594"/>
      <c r="O871" s="1594"/>
      <c r="P871" s="1594"/>
      <c r="Q871" s="1594"/>
      <c r="R871" s="1594"/>
      <c r="S871" s="1594"/>
      <c r="T871" s="1594"/>
      <c r="U871" s="1594"/>
      <c r="V871" s="1595"/>
      <c r="W871" s="1481">
        <v>20000</v>
      </c>
      <c r="X871" s="1481"/>
      <c r="Y871" s="1481"/>
      <c r="Z871" s="1481"/>
      <c r="AA871" s="1481"/>
      <c r="AB871" s="1481"/>
      <c r="AC871" s="1481"/>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SUM(W865:AC871)</f>
        <v>266640</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3" t="s">
        <v>2741</v>
      </c>
      <c r="N874" s="1594"/>
      <c r="O874" s="1594"/>
      <c r="P874" s="1594"/>
      <c r="Q874" s="1594"/>
      <c r="R874" s="1594"/>
      <c r="S874" s="1594"/>
      <c r="T874" s="1594"/>
      <c r="U874" s="1594"/>
      <c r="V874" s="1595"/>
      <c r="W874" s="1466">
        <v>12000</v>
      </c>
      <c r="X874" s="1467"/>
      <c r="Y874" s="1467"/>
      <c r="Z874" s="1467"/>
      <c r="AA874" s="1467"/>
      <c r="AB874" s="1467"/>
      <c r="AC874" s="1468"/>
      <c r="AD874" s="534"/>
      <c r="AV874" s="14"/>
      <c r="AW874" s="14"/>
      <c r="AX874" s="14"/>
      <c r="AY874" s="14"/>
      <c r="AZ874" s="34"/>
      <c r="BA874" s="34"/>
      <c r="BB874" s="34"/>
      <c r="BC874" s="34"/>
    </row>
    <row r="875" spans="3:55" ht="13" customHeight="1">
      <c r="C875" s="2" t="s">
        <v>1245</v>
      </c>
      <c r="J875" s="45" t="s">
        <v>170</v>
      </c>
      <c r="K875" s="5"/>
      <c r="L875" s="5"/>
      <c r="M875" s="1593" t="s">
        <v>2742</v>
      </c>
      <c r="N875" s="1594"/>
      <c r="O875" s="1594"/>
      <c r="P875" s="1594"/>
      <c r="Q875" s="1594"/>
      <c r="R875" s="1594"/>
      <c r="S875" s="1594"/>
      <c r="T875" s="1594"/>
      <c r="U875" s="1594"/>
      <c r="V875" s="1595"/>
      <c r="W875" s="1466">
        <f>200+3000+800</f>
        <v>4000</v>
      </c>
      <c r="X875" s="1467"/>
      <c r="Y875" s="1467"/>
      <c r="Z875" s="1467"/>
      <c r="AA875" s="1467"/>
      <c r="AB875" s="1467"/>
      <c r="AC875" s="1468"/>
      <c r="AD875" s="534"/>
      <c r="AV875" s="14"/>
      <c r="AW875" s="14"/>
      <c r="AX875" s="14"/>
      <c r="AY875" s="14"/>
      <c r="AZ875" s="34"/>
      <c r="BA875" s="34"/>
      <c r="BB875" s="34"/>
      <c r="BC875" s="34"/>
    </row>
    <row r="876" spans="3:55" ht="13" customHeight="1">
      <c r="J876" s="45" t="s">
        <v>170</v>
      </c>
      <c r="K876" s="5"/>
      <c r="L876" s="5"/>
      <c r="M876" s="1593" t="s">
        <v>2743</v>
      </c>
      <c r="N876" s="1594"/>
      <c r="O876" s="1594"/>
      <c r="P876" s="1594"/>
      <c r="Q876" s="1594"/>
      <c r="R876" s="1594"/>
      <c r="S876" s="1594"/>
      <c r="T876" s="1594"/>
      <c r="U876" s="1594"/>
      <c r="V876" s="1595"/>
      <c r="W876" s="1466">
        <v>7450</v>
      </c>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5">
        <f>SUM(W874:AC878)</f>
        <v>23450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1399939</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4">
        <f>O797+O777+G753</f>
        <v>128</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10937</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'Sources and Uses Budget'!C75</f>
        <v>498765</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65000</v>
      </c>
      <c r="AD888" s="1467"/>
      <c r="AE888" s="1467"/>
      <c r="AF888" s="1467"/>
      <c r="AG888" s="1467"/>
      <c r="AH888" s="146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64000</v>
      </c>
      <c r="AD889" s="1467"/>
      <c r="AE889" s="1467"/>
      <c r="AF889" s="1467"/>
      <c r="AG889" s="1467"/>
      <c r="AH889" s="146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v>5000</v>
      </c>
      <c r="AD890" s="1476"/>
      <c r="AE890" s="1476"/>
      <c r="AF890" s="1476"/>
      <c r="AG890" s="1476"/>
      <c r="AH890" s="147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8000</v>
      </c>
      <c r="AD891" s="1467"/>
      <c r="AE891" s="1467"/>
      <c r="AF891" s="1467"/>
      <c r="AG891" s="1467"/>
      <c r="AH891" s="1468"/>
      <c r="AZ891" s="34"/>
      <c r="BA891" s="34"/>
      <c r="BB891" s="34"/>
      <c r="BC891" s="34"/>
    </row>
    <row r="892" spans="3:55" ht="13" hidden="1" customHeight="1">
      <c r="C892" s="1449" t="s">
        <v>2237</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3" customHeight="1">
      <c r="C894" s="1633" t="s">
        <v>2744</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4000</v>
      </c>
      <c r="AD894" s="1481"/>
      <c r="AE894" s="1481"/>
      <c r="AF894" s="1481"/>
      <c r="AG894" s="1481"/>
      <c r="AH894" s="1481"/>
      <c r="AZ894" s="34"/>
      <c r="BA894" s="34"/>
      <c r="BB894" s="34"/>
      <c r="BC894" s="34"/>
    </row>
    <row r="895" spans="3:55" ht="13"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6">
        <f>'15 Year Pro Forma'!E74</f>
        <v>50000</v>
      </c>
      <c r="AA899" s="1467"/>
      <c r="AB899" s="1467"/>
      <c r="AC899" s="1467"/>
      <c r="AD899" s="1467"/>
      <c r="AE899" s="1468"/>
      <c r="AF899" s="534"/>
      <c r="AZ899" s="34"/>
      <c r="BB899" s="30"/>
      <c r="BC899" s="817"/>
      <c r="BD899" s="1629"/>
      <c r="BE899" s="1629"/>
      <c r="BF899" s="14"/>
    </row>
    <row r="900" spans="1:58" ht="13" customHeight="1">
      <c r="H900" s="121" t="s">
        <v>239</v>
      </c>
      <c r="I900" s="5"/>
      <c r="J900" s="5"/>
      <c r="K900" s="5"/>
      <c r="L900" s="5"/>
      <c r="M900" s="5"/>
      <c r="N900" s="5"/>
      <c r="O900" s="5"/>
      <c r="P900" s="5"/>
      <c r="Q900" s="5"/>
      <c r="R900" s="5"/>
      <c r="S900" s="5"/>
      <c r="T900" s="5"/>
      <c r="U900" s="5"/>
      <c r="V900" s="5"/>
      <c r="W900" s="5"/>
      <c r="X900" s="5"/>
      <c r="Y900" s="5"/>
      <c r="Z900" s="1466">
        <f>-'15 Year Pro Forma'!E76</f>
        <v>37500</v>
      </c>
      <c r="AA900" s="1467"/>
      <c r="AB900" s="1467"/>
      <c r="AC900" s="1467"/>
      <c r="AD900" s="1467"/>
      <c r="AE900" s="1468"/>
      <c r="AZ900" s="34"/>
      <c r="BB900" s="30"/>
      <c r="BC900" s="817"/>
      <c r="BD900" s="1629"/>
      <c r="BE900" s="1629"/>
      <c r="BF900" s="14"/>
    </row>
    <row r="901" spans="1:58" ht="13"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241</v>
      </c>
      <c r="Z902" s="1615">
        <f>Z899-(Z900+Z901)</f>
        <v>12500</v>
      </c>
      <c r="AA902" s="1616"/>
      <c r="AB902" s="1616"/>
      <c r="AC902" s="1616"/>
      <c r="AD902" s="1616"/>
      <c r="AE902" s="1617"/>
      <c r="AZ902" s="34"/>
      <c r="BB902" s="30"/>
      <c r="BC902" s="817"/>
      <c r="BD902" s="1628"/>
      <c r="BE902" s="1628"/>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 customHeight="1">
      <c r="AZ909" s="34"/>
      <c r="BB909" s="30"/>
      <c r="BC909" s="817"/>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2"/>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52605800.814821787</v>
      </c>
      <c r="AB918" s="1409"/>
      <c r="AC918" s="1409"/>
      <c r="AD918" s="1409"/>
      <c r="AE918" s="1409"/>
      <c r="AF918" s="1410"/>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f>AM555</f>
        <v>18684476.291045479</v>
      </c>
      <c r="AB919" s="1409"/>
      <c r="AC919" s="1409"/>
      <c r="AD919" s="1409"/>
      <c r="AE919" s="1409"/>
      <c r="AF919" s="1410"/>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3" customHeight="1">
      <c r="F926" s="1601" t="s">
        <v>2195</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3"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1" t="s">
        <v>2196</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1" t="s">
        <v>2197</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1" t="s">
        <v>2198</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1" t="s">
        <v>2199</v>
      </c>
      <c r="G931" s="1602"/>
      <c r="H931" s="1602"/>
      <c r="I931" s="1602"/>
      <c r="J931" s="1602"/>
      <c r="K931" s="1602"/>
      <c r="L931" s="1602"/>
      <c r="M931" s="1602"/>
      <c r="N931" s="1602"/>
      <c r="O931" s="1602"/>
      <c r="P931" s="1602"/>
      <c r="Q931" s="1602"/>
      <c r="R931" s="1602"/>
      <c r="S931" s="1602"/>
      <c r="T931" s="1603"/>
      <c r="U931" s="1402" t="s">
        <v>546</v>
      </c>
      <c r="V931" s="1403"/>
      <c r="W931" s="1403"/>
      <c r="X931" s="1403"/>
      <c r="Y931" s="1403"/>
      <c r="Z931" s="1404"/>
      <c r="AA931" s="1408">
        <f>AO628+AO630</f>
        <v>35000000</v>
      </c>
      <c r="AB931" s="1409"/>
      <c r="AC931" s="1409"/>
      <c r="AD931" s="1409"/>
      <c r="AE931" s="1409"/>
      <c r="AF931" s="1410"/>
      <c r="AU931" s="2"/>
      <c r="AZ931" s="34"/>
      <c r="BA931" s="34"/>
      <c r="BB931" s="34"/>
      <c r="BC931" s="34"/>
    </row>
    <row r="932" spans="6:55" ht="13" customHeight="1">
      <c r="F932" s="1601" t="s">
        <v>2200</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3"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3"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3"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3" customHeight="1">
      <c r="F936" s="1639" t="s">
        <v>2204</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3" customHeight="1">
      <c r="F937" s="1639" t="s">
        <v>2205</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3" customHeight="1">
      <c r="F938" s="1601" t="s">
        <v>2201</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3" customHeight="1">
      <c r="F939" s="1601" t="s">
        <v>2202</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3" customHeight="1">
      <c r="F940" s="1601" t="s">
        <v>2203</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3" customHeight="1">
      <c r="F942" s="1639" t="s">
        <v>2206</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3" customHeight="1">
      <c r="F944" s="1639" t="s">
        <v>2207</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3"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3" customHeight="1">
      <c r="F946" s="1601" t="s">
        <v>2194</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3" customHeight="1">
      <c r="F948" s="45" t="s">
        <v>10</v>
      </c>
      <c r="G948" s="48"/>
      <c r="H948" s="48"/>
      <c r="I948" s="1536" t="s">
        <v>2699</v>
      </c>
      <c r="J948" s="1537"/>
      <c r="K948" s="1537"/>
      <c r="L948" s="1537"/>
      <c r="M948" s="1537"/>
      <c r="N948" s="1537"/>
      <c r="O948" s="1537"/>
      <c r="P948" s="1537"/>
      <c r="Q948" s="1537"/>
      <c r="R948" s="1537"/>
      <c r="S948" s="1537"/>
      <c r="T948" s="1538"/>
      <c r="U948" s="1402" t="s">
        <v>546</v>
      </c>
      <c r="V948" s="1403"/>
      <c r="W948" s="1403"/>
      <c r="X948" s="1403"/>
      <c r="Y948" s="1403"/>
      <c r="Z948" s="1404"/>
      <c r="AA948" s="1408">
        <f>AM556</f>
        <v>17276908</v>
      </c>
      <c r="AB948" s="1409"/>
      <c r="AC948" s="1409"/>
      <c r="AD948" s="1409"/>
      <c r="AE948" s="1409"/>
      <c r="AF948" s="1410"/>
      <c r="AV948" s="2"/>
      <c r="AW948" s="2"/>
      <c r="AX948" s="2"/>
      <c r="AY948" s="2"/>
      <c r="AZ948" s="34"/>
      <c r="BA948" s="34"/>
      <c r="BB948" s="34"/>
      <c r="BC948" s="34"/>
    </row>
    <row r="949" spans="1:55" ht="13" customHeight="1">
      <c r="F949" s="47" t="s">
        <v>170</v>
      </c>
      <c r="G949" s="48"/>
      <c r="H949" s="48"/>
      <c r="I949" s="1536" t="s">
        <v>2745</v>
      </c>
      <c r="J949" s="1537"/>
      <c r="K949" s="1537"/>
      <c r="L949" s="1537"/>
      <c r="M949" s="1537"/>
      <c r="N949" s="1537"/>
      <c r="O949" s="1537"/>
      <c r="P949" s="1537"/>
      <c r="Q949" s="1537"/>
      <c r="R949" s="1537"/>
      <c r="S949" s="1537"/>
      <c r="T949" s="1538"/>
      <c r="U949" s="1402" t="s">
        <v>546</v>
      </c>
      <c r="V949" s="1403"/>
      <c r="W949" s="1403"/>
      <c r="X949" s="1403"/>
      <c r="Y949" s="1403"/>
      <c r="Z949" s="1404"/>
      <c r="AA949" s="1408">
        <v>450000</v>
      </c>
      <c r="AB949" s="1409"/>
      <c r="AC949" s="1409"/>
      <c r="AD949" s="1409"/>
      <c r="AE949" s="1409"/>
      <c r="AF949" s="1410"/>
      <c r="AU949" s="2"/>
      <c r="AZ949" s="34"/>
      <c r="BA949" s="34"/>
      <c r="BB949" s="34"/>
      <c r="BC949" s="34"/>
    </row>
    <row r="950" spans="1:55" ht="13" customHeight="1">
      <c r="F950" s="47" t="s">
        <v>170</v>
      </c>
      <c r="G950" s="48"/>
      <c r="H950" s="48"/>
      <c r="I950" s="1536" t="s">
        <v>334</v>
      </c>
      <c r="J950" s="1537"/>
      <c r="K950" s="1537"/>
      <c r="L950" s="1537"/>
      <c r="M950" s="1537"/>
      <c r="N950" s="1537"/>
      <c r="O950" s="1537"/>
      <c r="P950" s="1537"/>
      <c r="Q950" s="1537"/>
      <c r="R950" s="1537"/>
      <c r="S950" s="1537"/>
      <c r="T950" s="1538"/>
      <c r="U950" s="1402" t="s">
        <v>592</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c r="A986" s="14"/>
      <c r="B986" s="73"/>
      <c r="C986" s="930"/>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473390</v>
      </c>
      <c r="S986" s="1552"/>
      <c r="T986" s="1552"/>
      <c r="U986" s="1552"/>
      <c r="V986" s="1552"/>
      <c r="W986" s="1552"/>
      <c r="X986" s="1552"/>
      <c r="Y986" s="1552"/>
      <c r="Z986" s="1552"/>
      <c r="AA986" s="1552"/>
      <c r="AB986" s="1390">
        <f>CP802</f>
        <v>36</v>
      </c>
      <c r="AC986" s="1391"/>
      <c r="AD986" s="1391"/>
      <c r="AE986" s="1391"/>
      <c r="AF986" s="1391"/>
      <c r="AG986" s="1391"/>
      <c r="AH986" s="1391"/>
      <c r="AI986" s="1392"/>
      <c r="AJ986" s="1488">
        <f>IF(ISERROR((R986*AB986)),0,(R986*AB986))</f>
        <v>17042040</v>
      </c>
      <c r="AK986" s="1489"/>
      <c r="AL986" s="1489"/>
      <c r="AM986" s="1489"/>
      <c r="AN986" s="1489"/>
      <c r="AO986" s="1489"/>
      <c r="AP986" s="1489"/>
      <c r="AQ986" s="1490"/>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545814</v>
      </c>
      <c r="S987" s="1552"/>
      <c r="T987" s="1552"/>
      <c r="U987" s="1552"/>
      <c r="V987" s="1552"/>
      <c r="W987" s="1552"/>
      <c r="X987" s="1552"/>
      <c r="Y987" s="1552"/>
      <c r="Z987" s="1552"/>
      <c r="AA987" s="1552"/>
      <c r="AB987" s="1390">
        <f>CU802</f>
        <v>44</v>
      </c>
      <c r="AC987" s="1391"/>
      <c r="AD987" s="1391"/>
      <c r="AE987" s="1391"/>
      <c r="AF987" s="1391"/>
      <c r="AG987" s="1391"/>
      <c r="AH987" s="1391"/>
      <c r="AI987" s="1392"/>
      <c r="AJ987" s="1488">
        <f>IF(ISERROR((R987*AB987)),0,(R987*AB987))</f>
        <v>24015816</v>
      </c>
      <c r="AK987" s="1489"/>
      <c r="AL987" s="1489"/>
      <c r="AM987" s="1489"/>
      <c r="AN987" s="1489"/>
      <c r="AO987" s="1489"/>
      <c r="AP987" s="1489"/>
      <c r="AQ987" s="1490"/>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658400</v>
      </c>
      <c r="S988" s="1552"/>
      <c r="T988" s="1552"/>
      <c r="U988" s="1552"/>
      <c r="V988" s="1552"/>
      <c r="W988" s="1552"/>
      <c r="X988" s="1552"/>
      <c r="Y988" s="1552"/>
      <c r="Z988" s="1552"/>
      <c r="AA988" s="1552"/>
      <c r="AB988" s="1390">
        <f>CZ802</f>
        <v>28</v>
      </c>
      <c r="AC988" s="1391"/>
      <c r="AD988" s="1391"/>
      <c r="AE988" s="1391"/>
      <c r="AF988" s="1391"/>
      <c r="AG988" s="1391"/>
      <c r="AH988" s="1391"/>
      <c r="AI988" s="1392"/>
      <c r="AJ988" s="1488">
        <f>IF(ISERROR((R988*AB988)),0,(R988*AB988))</f>
        <v>18435200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842752</v>
      </c>
      <c r="S989" s="1552"/>
      <c r="T989" s="1552"/>
      <c r="U989" s="1552"/>
      <c r="V989" s="1552"/>
      <c r="W989" s="1552"/>
      <c r="X989" s="1552"/>
      <c r="Y989" s="1552"/>
      <c r="Z989" s="1552"/>
      <c r="AA989" s="1552"/>
      <c r="AB989" s="1390">
        <f>DE802</f>
        <v>20</v>
      </c>
      <c r="AC989" s="1391"/>
      <c r="AD989" s="1391"/>
      <c r="AE989" s="1391"/>
      <c r="AF989" s="1391"/>
      <c r="AG989" s="1391"/>
      <c r="AH989" s="1391"/>
      <c r="AI989" s="1392"/>
      <c r="AJ989" s="1488">
        <f>IF(ISERROR((R989*AB989)),0,(R989*AB989))</f>
        <v>16855040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938878</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128</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76348096</v>
      </c>
      <c r="AK992" s="1489"/>
      <c r="AL992" s="1489"/>
      <c r="AM992" s="1489"/>
      <c r="AN992" s="1489"/>
      <c r="AO992" s="1489"/>
      <c r="AP992" s="1489"/>
      <c r="AQ992" s="1490"/>
      <c r="AR992" s="68"/>
      <c r="AS992" s="68"/>
      <c r="AT992" s="68"/>
      <c r="AU992" s="68"/>
      <c r="AV992" s="68"/>
      <c r="AW992" s="68"/>
      <c r="AX992" s="68"/>
      <c r="AY992" s="68"/>
      <c r="AZ992" s="34"/>
      <c r="BB992" s="34"/>
      <c r="BC992" s="34"/>
    </row>
    <row r="993" spans="1:55" ht="13"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 customHeight="1">
      <c r="A994" s="14"/>
      <c r="B994" s="73"/>
      <c r="C994" s="928"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546</v>
      </c>
      <c r="AH994" s="1501"/>
      <c r="AI994" s="87"/>
      <c r="AJ994" s="1393">
        <f>ROUND(IF(AND(AG994="yes",D1000&gt;0),AJ992*0.2,0),0)</f>
        <v>15269619</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8"/>
      <c r="C995" s="257"/>
      <c r="D995" s="1539" t="s">
        <v>2239</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8"/>
      <c r="C999" s="257"/>
      <c r="D999" s="1542" t="s">
        <v>2208</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8"/>
      <c r="C1000" s="257"/>
      <c r="D1000" s="1610" t="s">
        <v>2746</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6"/>
      <c r="C1001" s="319"/>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8"/>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127</v>
      </c>
      <c r="AZ1003" s="34"/>
      <c r="BB1003" s="34"/>
    </row>
    <row r="1004" spans="1:55" ht="13"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0.46</v>
      </c>
      <c r="AZ1005" s="34"/>
      <c r="BB1005" s="34"/>
    </row>
    <row r="1006" spans="1:55" ht="13"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0.27</v>
      </c>
      <c r="AZ1006" s="34"/>
      <c r="BB1006" s="34"/>
    </row>
    <row r="1007" spans="1:55" ht="13" customHeight="1">
      <c r="A1007" s="14"/>
      <c r="B1007" s="256"/>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 customHeight="1">
      <c r="A1016" s="14"/>
      <c r="B1016" s="79"/>
      <c r="C1016" s="80" t="s">
        <v>218</v>
      </c>
      <c r="D1016" s="1504" t="s">
        <v>2240</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3"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3">
        <f>ROUND(IF(AG1029="yes",(AJ992*0.1),0),0)</f>
        <v>7634810</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40"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6"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40"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6"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0.74015748031496065</v>
      </c>
      <c r="BB1039" s="3" t="s">
        <v>2497</v>
      </c>
    </row>
    <row r="1040" spans="1:57" ht="13"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2495</v>
      </c>
    </row>
    <row r="1042" spans="1:56" ht="13" customHeight="1">
      <c r="A1042" s="14"/>
      <c r="B1042" s="73"/>
      <c r="C1042" s="74"/>
      <c r="D1042" s="1507" t="s">
        <v>2147</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2496</v>
      </c>
    </row>
    <row r="1043" spans="1:56" ht="13"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35120124.160000004</v>
      </c>
      <c r="AK1045" s="1394"/>
      <c r="AL1045" s="1394"/>
      <c r="AM1045" s="1394"/>
      <c r="AN1045" s="1394"/>
      <c r="AO1045" s="1394"/>
      <c r="AP1045" s="1394"/>
      <c r="AQ1045" s="1395"/>
      <c r="AR1045" s="68"/>
      <c r="AS1045" s="68"/>
      <c r="AT1045" s="68"/>
      <c r="AU1045" s="68"/>
      <c r="AV1045" s="68"/>
      <c r="AW1045" s="68"/>
      <c r="AX1045" s="68"/>
      <c r="AY1045" s="68"/>
      <c r="AZ1045" s="1183">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1208543</v>
      </c>
      <c r="BA1045" s="3" t="s">
        <v>2482</v>
      </c>
      <c r="BB1045" s="3"/>
      <c r="BC1045" s="3"/>
      <c r="BD1045" s="3"/>
    </row>
    <row r="1046" spans="1:56" ht="13" customHeight="1">
      <c r="A1046" s="14"/>
      <c r="B1046" s="73"/>
      <c r="C1046" s="443"/>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 ca="1">'Sources and Uses Budget'!S97*BA1046</f>
        <v>12626038.65</v>
      </c>
      <c r="BA1046" s="1184">
        <f>IF(BA1040,20%,15%)</f>
        <v>0.15</v>
      </c>
      <c r="BB1046" s="3" t="s">
        <v>2483</v>
      </c>
      <c r="BC1046" s="3" t="s">
        <v>2484</v>
      </c>
      <c r="BD1046" s="3"/>
    </row>
    <row r="1047" spans="1:56" ht="13"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70">
        <f>AY1003</f>
        <v>127</v>
      </c>
      <c r="J1048" s="1571"/>
      <c r="K1048" s="7"/>
      <c r="L1048" s="133"/>
      <c r="M1048" s="133"/>
      <c r="N1048" s="133"/>
      <c r="O1048" s="133"/>
      <c r="P1048" s="133"/>
      <c r="Q1048" s="133"/>
      <c r="R1048" s="133"/>
      <c r="S1048" s="133"/>
      <c r="T1048" s="133"/>
      <c r="U1048" s="133"/>
      <c r="V1048" s="134" t="s">
        <v>974</v>
      </c>
      <c r="W1048" s="48"/>
      <c r="X1048" s="1568">
        <f>CI753</f>
        <v>59</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c r="A1049" s="14"/>
      <c r="B1049" s="79"/>
      <c r="C1049" s="131" t="s">
        <v>1686</v>
      </c>
      <c r="D1049" s="1494" t="s">
        <v>2173</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41227971.840000004</v>
      </c>
      <c r="AK1049" s="1394"/>
      <c r="AL1049" s="1394"/>
      <c r="AM1049" s="1394"/>
      <c r="AN1049" s="1394"/>
      <c r="AO1049" s="1394"/>
      <c r="AP1049" s="1394"/>
      <c r="AQ1049" s="1395"/>
      <c r="AR1049" s="68"/>
      <c r="AS1049" s="68"/>
      <c r="AT1049" s="68"/>
      <c r="AU1049" s="14"/>
      <c r="AV1049" s="68"/>
      <c r="AW1049" s="68"/>
      <c r="AX1049" s="68"/>
      <c r="AY1049" s="68"/>
      <c r="AZ1049" s="963">
        <f ca="1">AZ1045*BA1049</f>
        <v>181281.44999999998</v>
      </c>
      <c r="BA1049" s="1184">
        <v>0.15</v>
      </c>
      <c r="BB1049" s="3" t="s">
        <v>2483</v>
      </c>
      <c r="BC1049" s="3" t="s">
        <v>2487</v>
      </c>
      <c r="BD1049" s="3"/>
    </row>
    <row r="1050" spans="1:56" ht="13" customHeight="1">
      <c r="A1050" s="14"/>
      <c r="B1050" s="73"/>
      <c r="C1050" s="443"/>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 ca="1">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0">
        <f>AY1003</f>
        <v>127</v>
      </c>
      <c r="J1052" s="1571"/>
      <c r="K1052" s="14"/>
      <c r="L1052" s="133"/>
      <c r="M1052" s="133"/>
      <c r="N1052" s="133"/>
      <c r="O1052" s="133"/>
      <c r="P1052" s="133"/>
      <c r="Q1052" s="133"/>
      <c r="R1052" s="133"/>
      <c r="S1052" s="133"/>
      <c r="T1052" s="133"/>
      <c r="U1052" s="133"/>
      <c r="V1052" s="134" t="s">
        <v>975</v>
      </c>
      <c r="X1052" s="1568">
        <f>CM753</f>
        <v>35</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 ca="1">ROUNDDOWN(MAX(0,BA1052*(SUM(AG1093,AL1093,AZ1045)-BD1052))+BF1052,0)</f>
        <v>0</v>
      </c>
      <c r="BA1052" s="1184">
        <f>IF(L1042,7%,5%)</f>
        <v>0.05</v>
      </c>
      <c r="BB1052" s="3" t="s">
        <v>2489</v>
      </c>
      <c r="BC1052" s="3"/>
      <c r="BD1052" s="3">
        <v>6666667</v>
      </c>
    </row>
    <row r="1053" spans="1:56" ht="13"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175600621</v>
      </c>
      <c r="AK1053" s="1580"/>
      <c r="AL1053" s="1580"/>
      <c r="AM1053" s="1580"/>
      <c r="AN1053" s="1580"/>
      <c r="AO1053" s="1580"/>
      <c r="AP1053" s="1580"/>
      <c r="AQ1053" s="1581"/>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 ca="1">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0">
        <f ca="1">'Sources and Uses Budget'!S107+'Sources and Uses Budget'!T107</f>
        <v>87625969</v>
      </c>
      <c r="AB1056" s="1850"/>
      <c r="AC1056" s="1850"/>
      <c r="AD1056" s="1850"/>
      <c r="AE1056" s="1850"/>
      <c r="AF1056" s="185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 ca="1">SUM(AZ1046:AZ1049)</f>
        <v>12807320.1</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1">
        <f ca="1">IFERROR((AA1056-BA1059)/(AJ1053-AJ1045-AJ1049),"")</f>
        <v>0.87326333511414445</v>
      </c>
      <c r="AB1057" s="1852"/>
      <c r="AC1057" s="1852"/>
      <c r="AD1057" s="1852"/>
      <c r="AE1057" s="1852"/>
      <c r="AF1057" s="185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7">
        <f>'Sources and Uses Budget'!$S$104+'Sources and Uses Budget'!$T$104</f>
        <v>3452378</v>
      </c>
      <c r="BB1058" s="3" t="s">
        <v>2498</v>
      </c>
    </row>
    <row r="1059" spans="1:54" ht="13" customHeight="1">
      <c r="A1059" s="14"/>
      <c r="B1059" s="14"/>
      <c r="C1059" s="209"/>
      <c r="D1059" s="859"/>
      <c r="E1059" s="859"/>
      <c r="F1059" s="859"/>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8">
        <f ca="1">MAX($BA$1058-$BA$1055,0)</f>
        <v>952378</v>
      </c>
      <c r="BB1059" s="3" t="s">
        <v>2499</v>
      </c>
    </row>
    <row r="1060" spans="1:54" ht="13" customHeight="1">
      <c r="A1060" s="88"/>
      <c r="B1060" s="1174"/>
      <c r="C1060" s="1174"/>
      <c r="D1060" s="1174"/>
      <c r="E1060" s="1174"/>
      <c r="F1060" s="1174"/>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4"/>
      <c r="AP1060" s="1174"/>
      <c r="AQ1060" s="68"/>
      <c r="AR1060" s="68"/>
      <c r="AS1060" s="68"/>
      <c r="AT1060" s="68"/>
      <c r="AU1060" s="68"/>
      <c r="AV1060" s="68"/>
      <c r="AW1060" s="68"/>
      <c r="AX1060" s="68"/>
      <c r="AY1060" s="68"/>
    </row>
    <row r="1061" spans="1:54" ht="13"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592</v>
      </c>
      <c r="B1065" s="1333"/>
      <c r="C1065" s="1334">
        <v>1</v>
      </c>
      <c r="D1065" s="1334"/>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592</v>
      </c>
      <c r="B1067" s="1333"/>
      <c r="C1067" s="1334">
        <v>2</v>
      </c>
      <c r="D1067" s="1334"/>
      <c r="E1067" s="1337" t="s">
        <v>2242</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3" t="s">
        <v>592</v>
      </c>
      <c r="B1081" s="1333"/>
      <c r="C1081" s="1336">
        <v>5</v>
      </c>
      <c r="D1081" s="1336"/>
      <c r="E1081" s="1293" t="s">
        <v>2246</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3" t="s">
        <v>592</v>
      </c>
      <c r="B1085" s="1333"/>
      <c r="C1085" s="1336">
        <v>6</v>
      </c>
      <c r="D1085" s="1336"/>
      <c r="E1085" s="1293" t="s">
        <v>2247</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3" t="s">
        <v>592</v>
      </c>
      <c r="B1089" s="1333"/>
      <c r="C1089" s="1336">
        <v>7</v>
      </c>
      <c r="D1089" s="1336"/>
      <c r="E1089" s="1293" t="s">
        <v>2141</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3" t="s">
        <v>592</v>
      </c>
      <c r="B1100" s="1333"/>
      <c r="C1100" s="1334">
        <v>10</v>
      </c>
      <c r="D1100" s="1334"/>
      <c r="E1100" s="1335" t="s">
        <v>2243</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3" t="s">
        <v>592</v>
      </c>
      <c r="B1103" s="1333"/>
      <c r="C1103" s="1334">
        <v>11</v>
      </c>
      <c r="D1103" s="1334"/>
      <c r="E1103" s="1335" t="s">
        <v>2245</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d8e5VdIaOrJCGGklKFtueMmr5vrjF5PybdX0k5P7FE29+6cdeYyED4MPG1UPPE0++Uh3mY97giA84iXeYr+fXQ==" saltValue="mt/87XCDFEmLNmviOQJNw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4" workbookViewId="0">
      <selection activeCell="A88" sqref="A88"/>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1)Chase</v>
      </c>
      <c r="G2" s="139" t="str">
        <f>Application!B628&amp;Application!C628</f>
        <v>2)HCD - AHSC loan</v>
      </c>
      <c r="H2" s="139" t="str">
        <f>Application!B629&amp;Application!C629</f>
        <v>3)City of Fremont</v>
      </c>
      <c r="I2" s="139" t="str">
        <f>Application!B630&amp;Application!C630</f>
        <v>4)Sponsor loan HCD AHSC HRI grant</v>
      </c>
      <c r="J2" s="139" t="str">
        <f>Application!B631&amp;Application!C631</f>
        <v>5)Sponsor loan DTSC grant</v>
      </c>
      <c r="K2" s="139" t="str">
        <f>Application!B632&amp;Application!C632</f>
        <v>6)GP equity</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f>ROUND([1]EVERYTHING!$E$29,0)</f>
        <v>6510198</v>
      </c>
      <c r="D4" s="147">
        <f>ROUND([1]EVERYTHING!$F$29,0)</f>
        <v>89802</v>
      </c>
      <c r="E4" s="147">
        <f>B4-SUM(F4:M4)</f>
        <v>89802</v>
      </c>
      <c r="F4" s="147"/>
      <c r="G4" s="147"/>
      <c r="H4" s="147">
        <f>C4</f>
        <v>6510198</v>
      </c>
      <c r="I4" s="147"/>
      <c r="J4" s="147"/>
      <c r="K4" s="147"/>
      <c r="L4" s="147"/>
      <c r="M4" s="147"/>
      <c r="N4" s="147"/>
      <c r="O4" s="147"/>
      <c r="P4" s="147"/>
      <c r="Q4" s="147"/>
      <c r="R4" s="517">
        <f>SUM(E4:Q4)</f>
        <v>6600000</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37689</v>
      </c>
      <c r="C6" s="147">
        <f>ROUND([1]EVERYTHING!$E$33,0)</f>
        <v>37176</v>
      </c>
      <c r="D6" s="147">
        <f>ROUND([1]EVERYTHING!$F$33,0)</f>
        <v>513</v>
      </c>
      <c r="E6" s="147">
        <f t="shared" si="0"/>
        <v>513</v>
      </c>
      <c r="F6" s="147"/>
      <c r="G6" s="147"/>
      <c r="H6" s="147">
        <f>C6</f>
        <v>37176</v>
      </c>
      <c r="I6" s="147"/>
      <c r="J6" s="147"/>
      <c r="K6" s="147"/>
      <c r="L6" s="147"/>
      <c r="M6" s="147"/>
      <c r="N6" s="147"/>
      <c r="O6" s="147"/>
      <c r="P6" s="147"/>
      <c r="Q6" s="147"/>
      <c r="R6" s="517">
        <f>SUM(E6:Q6)</f>
        <v>37689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594</v>
      </c>
      <c r="B8" s="146">
        <f>SUM(C8:D8)</f>
        <v>6637689</v>
      </c>
      <c r="C8" s="146">
        <f t="shared" ref="C8:Q8" si="1">SUM(C4:C7)</f>
        <v>6547374</v>
      </c>
      <c r="D8" s="146">
        <f t="shared" si="1"/>
        <v>90315</v>
      </c>
      <c r="E8" s="146">
        <f t="shared" si="1"/>
        <v>90315</v>
      </c>
      <c r="F8" s="146">
        <f t="shared" si="1"/>
        <v>0</v>
      </c>
      <c r="G8" s="146">
        <f t="shared" si="1"/>
        <v>0</v>
      </c>
      <c r="H8" s="146">
        <f t="shared" si="1"/>
        <v>6547374</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6637689</v>
      </c>
      <c r="S8" s="148"/>
      <c r="T8" s="148"/>
      <c r="U8" s="143"/>
    </row>
    <row r="9" spans="1:21" s="144" customFormat="1">
      <c r="A9" s="145" t="s">
        <v>595</v>
      </c>
      <c r="B9" s="146">
        <f>SUM(C9+D9)</f>
        <v>0</v>
      </c>
      <c r="C9" s="147"/>
      <c r="D9" s="147"/>
      <c r="E9" s="147">
        <f t="shared" ref="E9:E10" si="2">B9-SUM(F9:M9)</f>
        <v>0</v>
      </c>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975856</v>
      </c>
      <c r="C10" s="147">
        <f>ROUND([1]EVERYTHING!$E$34,0)</f>
        <v>962578</v>
      </c>
      <c r="D10" s="147">
        <f>ROUND([1]EVERYTHING!$F$34,0)</f>
        <v>13278</v>
      </c>
      <c r="E10" s="147">
        <f t="shared" si="2"/>
        <v>13278</v>
      </c>
      <c r="F10" s="147"/>
      <c r="G10" s="147"/>
      <c r="H10" s="147">
        <f>C10</f>
        <v>962578</v>
      </c>
      <c r="I10" s="147"/>
      <c r="J10" s="147"/>
      <c r="K10" s="147"/>
      <c r="L10" s="147"/>
      <c r="M10" s="147"/>
      <c r="N10" s="147"/>
      <c r="O10" s="147"/>
      <c r="P10" s="147"/>
      <c r="Q10" s="147"/>
      <c r="R10" s="517">
        <f>SUM(E10:Q10)</f>
        <v>975856</v>
      </c>
      <c r="S10" s="147">
        <f>C10</f>
        <v>962578</v>
      </c>
      <c r="T10" s="147"/>
      <c r="U10" s="143"/>
    </row>
    <row r="11" spans="1:21" s="144" customFormat="1">
      <c r="A11" s="149" t="s">
        <v>597</v>
      </c>
      <c r="B11" s="146">
        <f>SUM(C11:D11)</f>
        <v>975856</v>
      </c>
      <c r="C11" s="146">
        <f t="shared" ref="C11:Q11" si="3">SUM(C9:C10)</f>
        <v>962578</v>
      </c>
      <c r="D11" s="146">
        <f t="shared" si="3"/>
        <v>13278</v>
      </c>
      <c r="E11" s="146">
        <f t="shared" si="3"/>
        <v>13278</v>
      </c>
      <c r="F11" s="146">
        <f t="shared" si="3"/>
        <v>0</v>
      </c>
      <c r="G11" s="146">
        <f t="shared" si="3"/>
        <v>0</v>
      </c>
      <c r="H11" s="146">
        <f t="shared" si="3"/>
        <v>962578</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975856</v>
      </c>
      <c r="S11" s="148"/>
      <c r="T11" s="150">
        <f>SUM(T9:T10)</f>
        <v>0</v>
      </c>
      <c r="U11" s="143"/>
    </row>
    <row r="12" spans="1:21" s="144" customFormat="1">
      <c r="A12" s="149" t="s">
        <v>84</v>
      </c>
      <c r="B12" s="146">
        <f t="shared" ref="B12:Q12" si="4">SUM(B8+B11)</f>
        <v>7613545</v>
      </c>
      <c r="C12" s="146">
        <f t="shared" si="4"/>
        <v>7509952</v>
      </c>
      <c r="D12" s="146">
        <f t="shared" si="4"/>
        <v>103593</v>
      </c>
      <c r="E12" s="146">
        <f t="shared" si="4"/>
        <v>103593</v>
      </c>
      <c r="F12" s="146">
        <f t="shared" si="4"/>
        <v>0</v>
      </c>
      <c r="G12" s="146">
        <f t="shared" si="4"/>
        <v>0</v>
      </c>
      <c r="H12" s="146">
        <f t="shared" si="4"/>
        <v>7509952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7613545</v>
      </c>
      <c r="S12" s="148"/>
      <c r="T12" s="148"/>
      <c r="U12" s="143"/>
    </row>
    <row r="13" spans="1:21" s="144" customFormat="1">
      <c r="A13" s="288" t="s">
        <v>903</v>
      </c>
      <c r="B13" s="146">
        <f>SUM(C13+D13)</f>
        <v>40700</v>
      </c>
      <c r="C13" s="147">
        <f>ROUND([1]EVERYTHING!$E$30,0)</f>
        <v>40146</v>
      </c>
      <c r="D13" s="147">
        <f>ROUND([1]EVERYTHING!$F$30,0)</f>
        <v>554</v>
      </c>
      <c r="E13" s="147">
        <f>B13-SUM(F13:M13)</f>
        <v>554</v>
      </c>
      <c r="F13" s="147"/>
      <c r="G13" s="147"/>
      <c r="H13" s="147">
        <f>C13</f>
        <v>40146</v>
      </c>
      <c r="I13" s="147"/>
      <c r="J13" s="147"/>
      <c r="K13" s="147"/>
      <c r="L13" s="147"/>
      <c r="M13" s="147"/>
      <c r="N13" s="147"/>
      <c r="O13" s="147"/>
      <c r="P13" s="147"/>
      <c r="Q13" s="147"/>
      <c r="R13" s="517">
        <f>SUM(E13:Q13)</f>
        <v>40700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1641</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574212</v>
      </c>
      <c r="C29" s="147">
        <f>ROUND([1]EVERYTHING!$E$45,0)</f>
        <v>566399</v>
      </c>
      <c r="D29" s="147">
        <f>ROUND([1]EVERYTHING!$F$45,0)</f>
        <v>7813</v>
      </c>
      <c r="E29" s="147">
        <f t="shared" ref="E29:E37" si="9">B29-SUM(F29:M29)</f>
        <v>124112</v>
      </c>
      <c r="F29" s="147"/>
      <c r="G29" s="147"/>
      <c r="H29" s="147"/>
      <c r="I29" s="147"/>
      <c r="J29" s="147">
        <f>Application!AO631</f>
        <v>450000</v>
      </c>
      <c r="K29" s="147">
        <f>Application!AO632</f>
        <v>100</v>
      </c>
      <c r="L29" s="147"/>
      <c r="M29" s="147"/>
      <c r="N29" s="147"/>
      <c r="O29" s="147"/>
      <c r="P29" s="147"/>
      <c r="Q29" s="147"/>
      <c r="R29" s="517">
        <f t="shared" ref="R29:R37" si="10">SUM(E29:Q29)</f>
        <v>574212</v>
      </c>
      <c r="S29" s="147">
        <f>C29</f>
        <v>566399</v>
      </c>
      <c r="T29" s="147"/>
      <c r="U29" s="143"/>
    </row>
    <row r="30" spans="1:21" s="144" customFormat="1">
      <c r="A30" s="145" t="s">
        <v>600</v>
      </c>
      <c r="B30" s="146">
        <f t="shared" ca="1" si="8"/>
        <v>46941387</v>
      </c>
      <c r="C30" s="147">
        <f ca="1">ROUND(([1]EVERYTHING!$E$46+[1]EVERYTHING!$E$51),0)-C34+1</f>
        <v>46302689</v>
      </c>
      <c r="D30" s="147">
        <f ca="1">ROUND(([1]EVERYTHING!$F$46+[1]EVERYTHING!$F$51),0)-D34-1</f>
        <v>638698</v>
      </c>
      <c r="E30" s="147">
        <f t="shared" ca="1" si="9"/>
        <v>14192759</v>
      </c>
      <c r="F30" s="147">
        <f>Application!AO627</f>
        <v>4103000</v>
      </c>
      <c r="G30" s="147">
        <f ca="1">Application!AO628-SUM(G31:G37)</f>
        <v>15207016</v>
      </c>
      <c r="H30" s="147">
        <f>Application!AO629-H13-H10-H8</f>
        <v>9726810</v>
      </c>
      <c r="I30" s="147">
        <f>Application!AO630</f>
        <v>3711802</v>
      </c>
      <c r="J30" s="147"/>
      <c r="K30" s="147"/>
      <c r="L30" s="147"/>
      <c r="M30" s="147"/>
      <c r="N30" s="147"/>
      <c r="O30" s="147"/>
      <c r="P30" s="147"/>
      <c r="Q30" s="147"/>
      <c r="R30" s="517">
        <f t="shared" ca="1" si="10"/>
        <v>46941387</v>
      </c>
      <c r="S30" s="147">
        <f t="shared" ref="S30:S37" ca="1" si="11">C30</f>
        <v>46302689</v>
      </c>
      <c r="T30" s="147"/>
      <c r="U30" s="143"/>
    </row>
    <row r="31" spans="1:21" s="144" customFormat="1">
      <c r="A31" s="145" t="s">
        <v>601</v>
      </c>
      <c r="B31" s="146">
        <f t="shared" si="8"/>
        <v>2509403</v>
      </c>
      <c r="C31" s="147">
        <f>ROUND([1]EVERYTHING!$E$47,0)</f>
        <v>2475259</v>
      </c>
      <c r="D31" s="147">
        <f>ROUND([1]EVERYTHING!$F$47,0)</f>
        <v>34144</v>
      </c>
      <c r="E31" s="147">
        <f t="shared" si="9"/>
        <v>34144</v>
      </c>
      <c r="F31" s="147"/>
      <c r="G31" s="147">
        <f>C31</f>
        <v>2475259</v>
      </c>
      <c r="H31" s="147"/>
      <c r="I31" s="147"/>
      <c r="J31" s="147"/>
      <c r="K31" s="147"/>
      <c r="L31" s="147"/>
      <c r="M31" s="147"/>
      <c r="N31" s="147"/>
      <c r="O31" s="147"/>
      <c r="P31" s="147"/>
      <c r="Q31" s="147"/>
      <c r="R31" s="517">
        <f t="shared" si="10"/>
        <v>2509403</v>
      </c>
      <c r="S31" s="147">
        <f t="shared" si="11"/>
        <v>2475259</v>
      </c>
      <c r="T31" s="147"/>
      <c r="U31" s="143"/>
    </row>
    <row r="32" spans="1:21" s="144" customFormat="1">
      <c r="A32" s="145" t="s">
        <v>137</v>
      </c>
      <c r="B32" s="146">
        <f t="shared" si="8"/>
        <v>1205873</v>
      </c>
      <c r="C32" s="147">
        <f>ROUND([1]EVERYTHING!$E$49/2,0)</f>
        <v>1189466</v>
      </c>
      <c r="D32" s="147">
        <f>ROUND([1]EVERYTHING!$F$49/2,0)</f>
        <v>16407</v>
      </c>
      <c r="E32" s="147">
        <f t="shared" si="9"/>
        <v>16407</v>
      </c>
      <c r="F32" s="147"/>
      <c r="G32" s="147">
        <f t="shared" ref="G32:G37" si="12">C32</f>
        <v>1189466</v>
      </c>
      <c r="H32" s="147"/>
      <c r="I32" s="147"/>
      <c r="J32" s="147"/>
      <c r="K32" s="147"/>
      <c r="L32" s="147"/>
      <c r="M32" s="147"/>
      <c r="N32" s="147"/>
      <c r="O32" s="147"/>
      <c r="P32" s="147"/>
      <c r="Q32" s="147"/>
      <c r="R32" s="517">
        <f t="shared" si="10"/>
        <v>1205873</v>
      </c>
      <c r="S32" s="147">
        <f t="shared" si="11"/>
        <v>1189466</v>
      </c>
      <c r="T32" s="147"/>
      <c r="U32" s="143"/>
    </row>
    <row r="33" spans="1:21" s="144" customFormat="1">
      <c r="A33" s="145" t="s">
        <v>138</v>
      </c>
      <c r="B33" s="146">
        <f t="shared" si="8"/>
        <v>1205875</v>
      </c>
      <c r="C33" s="147">
        <f>C32+1</f>
        <v>1189467</v>
      </c>
      <c r="D33" s="147">
        <f>D32+1</f>
        <v>16408</v>
      </c>
      <c r="E33" s="147">
        <f t="shared" si="9"/>
        <v>16408</v>
      </c>
      <c r="F33" s="147"/>
      <c r="G33" s="147">
        <f t="shared" si="12"/>
        <v>1189467</v>
      </c>
      <c r="H33" s="147"/>
      <c r="I33" s="147"/>
      <c r="J33" s="147"/>
      <c r="K33" s="147"/>
      <c r="L33" s="147"/>
      <c r="M33" s="147"/>
      <c r="N33" s="147"/>
      <c r="O33" s="147"/>
      <c r="P33" s="147"/>
      <c r="Q33" s="147"/>
      <c r="R33" s="517">
        <f t="shared" si="10"/>
        <v>1205875</v>
      </c>
      <c r="S33" s="147">
        <f t="shared" si="11"/>
        <v>1189467</v>
      </c>
      <c r="T33" s="147"/>
      <c r="U33" s="143"/>
    </row>
    <row r="34" spans="1:21" s="144" customFormat="1">
      <c r="A34" s="145" t="s">
        <v>139</v>
      </c>
      <c r="B34" s="146">
        <f t="shared" ca="1" si="8"/>
        <v>9503120</v>
      </c>
      <c r="C34" s="147">
        <f ca="1">ROUND((C29+C30)*0.2,0)</f>
        <v>9373818</v>
      </c>
      <c r="D34" s="147">
        <f ca="1">ROUND((D29+D30)*0.2,0)</f>
        <v>129302</v>
      </c>
      <c r="E34" s="147">
        <f t="shared" ca="1" si="9"/>
        <v>129302</v>
      </c>
      <c r="F34" s="147"/>
      <c r="G34" s="147">
        <f t="shared" ca="1" si="12"/>
        <v>9373818</v>
      </c>
      <c r="H34" s="147"/>
      <c r="I34" s="147"/>
      <c r="J34" s="147"/>
      <c r="K34" s="147"/>
      <c r="L34" s="147"/>
      <c r="M34" s="147"/>
      <c r="N34" s="147"/>
      <c r="O34" s="147"/>
      <c r="P34" s="147"/>
      <c r="Q34" s="147"/>
      <c r="R34" s="517">
        <f t="shared" ca="1" si="10"/>
        <v>9503120</v>
      </c>
      <c r="S34" s="147">
        <f t="shared" ca="1" si="11"/>
        <v>9373818</v>
      </c>
      <c r="T34" s="147"/>
      <c r="U34" s="143"/>
    </row>
    <row r="35" spans="1:21" s="144" customFormat="1">
      <c r="A35" s="145" t="s">
        <v>140</v>
      </c>
      <c r="B35" s="146">
        <f t="shared" si="8"/>
        <v>1225136</v>
      </c>
      <c r="C35" s="147">
        <f>ROUND([1]EVERYTHING!$E$48,0)</f>
        <v>1208466</v>
      </c>
      <c r="D35" s="147">
        <f>ROUND([1]EVERYTHING!$F$48,0)</f>
        <v>16670</v>
      </c>
      <c r="E35" s="147">
        <f t="shared" si="9"/>
        <v>16670</v>
      </c>
      <c r="F35" s="147"/>
      <c r="G35" s="147">
        <f t="shared" si="12"/>
        <v>1208466</v>
      </c>
      <c r="H35" s="147"/>
      <c r="I35" s="147"/>
      <c r="J35" s="147"/>
      <c r="K35" s="147"/>
      <c r="L35" s="147"/>
      <c r="M35" s="147"/>
      <c r="N35" s="147"/>
      <c r="O35" s="147"/>
      <c r="P35" s="147"/>
      <c r="Q35" s="147"/>
      <c r="R35" s="517">
        <f t="shared" si="10"/>
        <v>1225136</v>
      </c>
      <c r="S35" s="147">
        <f t="shared" si="11"/>
        <v>1208466</v>
      </c>
      <c r="T35" s="147"/>
      <c r="U35" s="143"/>
    </row>
    <row r="36" spans="1:21" s="144" customFormat="1">
      <c r="A36" s="284" t="s">
        <v>1641</v>
      </c>
      <c r="B36" s="146">
        <f t="shared" si="8"/>
        <v>149600</v>
      </c>
      <c r="C36" s="147">
        <f>ROUND([1]EVERYTHING!$E$90,0)</f>
        <v>147564</v>
      </c>
      <c r="D36" s="147">
        <f>ROUND([1]EVERYTHING!$F$90,0)</f>
        <v>2036</v>
      </c>
      <c r="E36" s="147">
        <f t="shared" si="9"/>
        <v>2036</v>
      </c>
      <c r="F36" s="147"/>
      <c r="G36" s="147">
        <f t="shared" si="12"/>
        <v>147564</v>
      </c>
      <c r="H36" s="147"/>
      <c r="I36" s="147"/>
      <c r="J36" s="147"/>
      <c r="K36" s="147"/>
      <c r="L36" s="147"/>
      <c r="M36" s="147"/>
      <c r="N36" s="147"/>
      <c r="O36" s="147"/>
      <c r="P36" s="147"/>
      <c r="Q36" s="147"/>
      <c r="R36" s="517">
        <f t="shared" si="10"/>
        <v>149600</v>
      </c>
      <c r="S36" s="147">
        <f t="shared" si="11"/>
        <v>147564</v>
      </c>
      <c r="T36" s="147"/>
      <c r="U36" s="143"/>
    </row>
    <row r="37" spans="1:21" s="144" customFormat="1">
      <c r="A37" s="1151" t="s">
        <v>2747</v>
      </c>
      <c r="B37" s="146">
        <f t="shared" si="8"/>
        <v>504000</v>
      </c>
      <c r="C37" s="147">
        <f>ROUND([1]EVERYTHING!$E$50,0)</f>
        <v>497142</v>
      </c>
      <c r="D37" s="147">
        <f>ROUND([1]EVERYTHING!$F$50,0)</f>
        <v>6858</v>
      </c>
      <c r="E37" s="147">
        <f t="shared" si="9"/>
        <v>6858</v>
      </c>
      <c r="F37" s="147"/>
      <c r="G37" s="147">
        <f t="shared" si="12"/>
        <v>497142</v>
      </c>
      <c r="H37" s="147"/>
      <c r="I37" s="147"/>
      <c r="J37" s="147"/>
      <c r="K37" s="147"/>
      <c r="L37" s="147"/>
      <c r="M37" s="147"/>
      <c r="N37" s="147"/>
      <c r="O37" s="147"/>
      <c r="P37" s="147"/>
      <c r="Q37" s="147"/>
      <c r="R37" s="517">
        <f t="shared" si="10"/>
        <v>504000</v>
      </c>
      <c r="S37" s="147">
        <f t="shared" si="11"/>
        <v>497142</v>
      </c>
      <c r="T37" s="147"/>
      <c r="U37" s="143"/>
    </row>
    <row r="38" spans="1:21" s="144" customFormat="1">
      <c r="A38" s="149" t="s">
        <v>143</v>
      </c>
      <c r="B38" s="146">
        <f t="shared" ca="1" si="8"/>
        <v>63818606</v>
      </c>
      <c r="C38" s="146">
        <f ca="1">SUM(C29:C37)</f>
        <v>62950270</v>
      </c>
      <c r="D38" s="146">
        <f t="shared" ref="D38:Q38" ca="1" si="13">SUM(D29:D37)</f>
        <v>868336</v>
      </c>
      <c r="E38" s="146">
        <f t="shared" ca="1" si="13"/>
        <v>14538696</v>
      </c>
      <c r="F38" s="146">
        <f t="shared" si="13"/>
        <v>4103000</v>
      </c>
      <c r="G38" s="146">
        <f t="shared" ca="1" si="13"/>
        <v>31288198</v>
      </c>
      <c r="H38" s="146">
        <f t="shared" si="13"/>
        <v>9726810</v>
      </c>
      <c r="I38" s="146">
        <f t="shared" si="13"/>
        <v>3711802</v>
      </c>
      <c r="J38" s="146">
        <f t="shared" si="13"/>
        <v>450000</v>
      </c>
      <c r="K38" s="146">
        <f t="shared" si="13"/>
        <v>100</v>
      </c>
      <c r="L38" s="146">
        <f t="shared" si="13"/>
        <v>0</v>
      </c>
      <c r="M38" s="146">
        <f t="shared" si="13"/>
        <v>0</v>
      </c>
      <c r="N38" s="146">
        <f t="shared" si="13"/>
        <v>0</v>
      </c>
      <c r="O38" s="146">
        <f t="shared" si="13"/>
        <v>0</v>
      </c>
      <c r="P38" s="146">
        <f t="shared" si="13"/>
        <v>0</v>
      </c>
      <c r="Q38" s="146">
        <f t="shared" si="13"/>
        <v>0</v>
      </c>
      <c r="R38" s="343">
        <f ca="1">SUM(R29:R37)</f>
        <v>63818606</v>
      </c>
      <c r="S38" s="150">
        <f ca="1">SUM(S29:S37)</f>
        <v>62950270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2562988</v>
      </c>
      <c r="C40" s="147">
        <f>ROUND([1]EVERYTHING!$E$54,0)</f>
        <v>2528115</v>
      </c>
      <c r="D40" s="147">
        <f>ROUND([1]EVERYTHING!$F$54,0)</f>
        <v>34873</v>
      </c>
      <c r="E40" s="147">
        <f t="shared" ref="E40:E41" si="14">B40-SUM(F40:M40)</f>
        <v>2562988</v>
      </c>
      <c r="F40" s="147"/>
      <c r="G40" s="147"/>
      <c r="H40" s="147"/>
      <c r="I40" s="147"/>
      <c r="J40" s="147"/>
      <c r="K40" s="147"/>
      <c r="L40" s="147"/>
      <c r="M40" s="147"/>
      <c r="N40" s="147"/>
      <c r="O40" s="147"/>
      <c r="P40" s="147"/>
      <c r="Q40" s="147"/>
      <c r="R40" s="517">
        <f>SUM(E40:Q40)</f>
        <v>2562988</v>
      </c>
      <c r="S40" s="147">
        <f>C40</f>
        <v>2528115</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2562988</v>
      </c>
      <c r="C42" s="146">
        <f>SUM(C39:C41)</f>
        <v>2528115</v>
      </c>
      <c r="D42" s="146">
        <f>SUM(D39:D41)</f>
        <v>34873</v>
      </c>
      <c r="E42" s="146">
        <f t="shared" ref="E42:T42" si="15">SUM(E40:E41)</f>
        <v>2562988</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3">
        <f>SUM(R40:R41)</f>
        <v>2562988</v>
      </c>
      <c r="S42" s="150">
        <f t="shared" si="15"/>
        <v>2528115</v>
      </c>
      <c r="T42" s="150">
        <f t="shared" si="15"/>
        <v>0</v>
      </c>
      <c r="U42" s="143"/>
    </row>
    <row r="43" spans="1:21" s="144" customFormat="1">
      <c r="A43" s="149" t="s">
        <v>148</v>
      </c>
      <c r="B43" s="146">
        <f>SUM(C43:D43)</f>
        <v>801380</v>
      </c>
      <c r="C43" s="147">
        <f>ROUND([1]EVERYTHING!$E$57,0)</f>
        <v>790476</v>
      </c>
      <c r="D43" s="147">
        <f>ROUND([1]EVERYTHING!$F$57,0)</f>
        <v>10904</v>
      </c>
      <c r="E43" s="147">
        <f>B43-SUM(F43:M43)</f>
        <v>801380</v>
      </c>
      <c r="F43" s="147"/>
      <c r="G43" s="147"/>
      <c r="H43" s="147"/>
      <c r="I43" s="147"/>
      <c r="J43" s="147"/>
      <c r="K43" s="147"/>
      <c r="L43" s="147"/>
      <c r="M43" s="147"/>
      <c r="N43" s="147"/>
      <c r="O43" s="147"/>
      <c r="P43" s="147"/>
      <c r="Q43" s="147"/>
      <c r="R43" s="517">
        <f>SUM(E43:Q43)</f>
        <v>801380</v>
      </c>
      <c r="S43" s="147">
        <f>C43</f>
        <v>790476</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6324326</v>
      </c>
      <c r="C45" s="147">
        <f>ROUND([1]EVERYTHING!$E$59,0)</f>
        <v>6238275</v>
      </c>
      <c r="D45" s="147">
        <f>ROUND([1]EVERYTHING!$F$59,0)</f>
        <v>86051</v>
      </c>
      <c r="E45" s="147">
        <f t="shared" ref="E45:E53" si="17">B45-SUM(F45:M45)</f>
        <v>6324326</v>
      </c>
      <c r="F45" s="147"/>
      <c r="G45" s="147"/>
      <c r="H45" s="147"/>
      <c r="I45" s="147"/>
      <c r="J45" s="147"/>
      <c r="K45" s="147"/>
      <c r="L45" s="147"/>
      <c r="M45" s="147"/>
      <c r="N45" s="147"/>
      <c r="O45" s="147"/>
      <c r="P45" s="147"/>
      <c r="Q45" s="147"/>
      <c r="R45" s="517">
        <f t="shared" ref="R45:R53" si="18">SUM(E45:Q45)</f>
        <v>6324326</v>
      </c>
      <c r="S45" s="147">
        <f>ROUND([1]EVERYTHING!$G$59,0)</f>
        <v>3366863</v>
      </c>
      <c r="T45" s="147"/>
      <c r="U45" s="143"/>
    </row>
    <row r="46" spans="1:21" s="144" customFormat="1">
      <c r="A46" s="145" t="s">
        <v>151</v>
      </c>
      <c r="B46" s="146">
        <f t="shared" si="16"/>
        <v>584677</v>
      </c>
      <c r="C46" s="147">
        <f>ROUND([1]EVERYTHING!$E$62,0)</f>
        <v>576722</v>
      </c>
      <c r="D46" s="147">
        <f>ROUND([1]EVERYTHING!$F$62,)</f>
        <v>7955</v>
      </c>
      <c r="E46" s="147">
        <f t="shared" si="17"/>
        <v>584677</v>
      </c>
      <c r="F46" s="147"/>
      <c r="G46" s="147"/>
      <c r="H46" s="147"/>
      <c r="I46" s="147"/>
      <c r="J46" s="147"/>
      <c r="K46" s="147"/>
      <c r="L46" s="147"/>
      <c r="M46" s="147"/>
      <c r="N46" s="147"/>
      <c r="O46" s="147"/>
      <c r="P46" s="147"/>
      <c r="Q46" s="147"/>
      <c r="R46" s="517">
        <f t="shared" si="18"/>
        <v>584677</v>
      </c>
      <c r="S46" s="147">
        <f>ROUND([1]EVERYTHING!$G$62,0)</f>
        <v>30216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7">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7">
        <f t="shared" si="18"/>
        <v>0</v>
      </c>
      <c r="S48" s="147"/>
      <c r="T48" s="147"/>
      <c r="U48" s="143"/>
    </row>
    <row r="49" spans="1:21" s="144" customFormat="1">
      <c r="A49" s="145" t="s">
        <v>57</v>
      </c>
      <c r="B49" s="146">
        <f t="shared" si="16"/>
        <v>193944</v>
      </c>
      <c r="C49" s="147">
        <f>ROUND([1]EVERYTHING!$E$60,0)</f>
        <v>193944</v>
      </c>
      <c r="D49" s="147"/>
      <c r="E49" s="147">
        <f t="shared" si="17"/>
        <v>193944</v>
      </c>
      <c r="F49" s="147"/>
      <c r="G49" s="147"/>
      <c r="H49" s="147"/>
      <c r="I49" s="147"/>
      <c r="J49" s="147"/>
      <c r="K49" s="147"/>
      <c r="L49" s="147"/>
      <c r="M49" s="147"/>
      <c r="N49" s="147"/>
      <c r="O49" s="147"/>
      <c r="P49" s="147"/>
      <c r="Q49" s="147"/>
      <c r="R49" s="517">
        <f t="shared" si="18"/>
        <v>193944</v>
      </c>
      <c r="S49" s="147">
        <f>ROUND([1]EVERYTHING!$G$60,0)</f>
        <v>10023</v>
      </c>
      <c r="T49" s="147"/>
      <c r="U49" s="143"/>
    </row>
    <row r="50" spans="1:21" s="144" customFormat="1">
      <c r="A50" s="145" t="s">
        <v>156</v>
      </c>
      <c r="B50" s="146">
        <f t="shared" si="16"/>
        <v>100700</v>
      </c>
      <c r="C50" s="147">
        <f>ROUND([1]EVERYTHING!$E$65,0)</f>
        <v>99330</v>
      </c>
      <c r="D50" s="147">
        <f>ROUND([1]EVERYTHING!$F$65,0)</f>
        <v>1370</v>
      </c>
      <c r="E50" s="147">
        <f t="shared" si="17"/>
        <v>100700</v>
      </c>
      <c r="F50" s="147"/>
      <c r="G50" s="147"/>
      <c r="H50" s="147"/>
      <c r="I50" s="147"/>
      <c r="J50" s="147"/>
      <c r="K50" s="147"/>
      <c r="L50" s="147"/>
      <c r="M50" s="147"/>
      <c r="N50" s="147"/>
      <c r="O50" s="147"/>
      <c r="P50" s="147"/>
      <c r="Q50" s="147"/>
      <c r="R50" s="517">
        <f t="shared" si="18"/>
        <v>100700</v>
      </c>
      <c r="S50" s="147">
        <f>ROUND([1]EVERYTHING!$G$65,0)</f>
        <v>99330</v>
      </c>
      <c r="T50" s="147"/>
      <c r="U50" s="143"/>
    </row>
    <row r="51" spans="1:21" s="144" customFormat="1">
      <c r="A51" s="284" t="s">
        <v>154</v>
      </c>
      <c r="B51" s="146">
        <f t="shared" si="16"/>
        <v>371555</v>
      </c>
      <c r="C51" s="147">
        <f>ROUND([1]EVERYTHING!$E$63,0)</f>
        <v>366500</v>
      </c>
      <c r="D51" s="147">
        <f>ROUND([1]EVERYTHING!$F$63,0)</f>
        <v>5055</v>
      </c>
      <c r="E51" s="147">
        <f t="shared" si="17"/>
        <v>371555</v>
      </c>
      <c r="F51" s="147"/>
      <c r="G51" s="147"/>
      <c r="H51" s="147"/>
      <c r="I51" s="147"/>
      <c r="J51" s="147"/>
      <c r="K51" s="147"/>
      <c r="L51" s="147"/>
      <c r="M51" s="147"/>
      <c r="N51" s="147"/>
      <c r="O51" s="147"/>
      <c r="P51" s="147"/>
      <c r="Q51" s="147"/>
      <c r="R51" s="517">
        <f t="shared" si="18"/>
        <v>371555</v>
      </c>
      <c r="S51" s="147">
        <f>C51</f>
        <v>366500</v>
      </c>
      <c r="T51" s="147"/>
      <c r="U51" s="143"/>
    </row>
    <row r="52" spans="1:21" s="144" customFormat="1">
      <c r="A52" s="145" t="s">
        <v>155</v>
      </c>
      <c r="B52" s="146">
        <f t="shared" si="16"/>
        <v>1415850</v>
      </c>
      <c r="C52" s="147">
        <f>ROUND([1]EVERYTHING!$E$64,0)</f>
        <v>1396586</v>
      </c>
      <c r="D52" s="147">
        <f>ROUND([1]EVERYTHING!$F$64,0)</f>
        <v>19264</v>
      </c>
      <c r="E52" s="147">
        <f t="shared" si="17"/>
        <v>1415850</v>
      </c>
      <c r="F52" s="147"/>
      <c r="G52" s="147"/>
      <c r="H52" s="147"/>
      <c r="I52" s="147"/>
      <c r="J52" s="147"/>
      <c r="K52" s="147"/>
      <c r="L52" s="147"/>
      <c r="M52" s="147"/>
      <c r="N52" s="147"/>
      <c r="O52" s="147"/>
      <c r="P52" s="147"/>
      <c r="Q52" s="147"/>
      <c r="R52" s="517">
        <f t="shared" si="18"/>
        <v>1415850</v>
      </c>
      <c r="S52" s="147">
        <f>C52</f>
        <v>1396586</v>
      </c>
      <c r="T52" s="147"/>
      <c r="U52" s="143"/>
    </row>
    <row r="53" spans="1:21" s="144" customFormat="1">
      <c r="A53" s="1151" t="s">
        <v>2748</v>
      </c>
      <c r="B53" s="146">
        <f t="shared" si="16"/>
        <v>150000</v>
      </c>
      <c r="C53" s="147">
        <f>ROUND([1]EVERYTHING!$E$61,0)</f>
        <v>147959</v>
      </c>
      <c r="D53" s="147">
        <f>ROUND([1]EVERYTHING!$F$61,0)</f>
        <v>2041</v>
      </c>
      <c r="E53" s="147">
        <f t="shared" si="17"/>
        <v>150000</v>
      </c>
      <c r="F53" s="147"/>
      <c r="G53" s="147"/>
      <c r="H53" s="147"/>
      <c r="I53" s="147"/>
      <c r="J53" s="147"/>
      <c r="K53" s="147"/>
      <c r="L53" s="147"/>
      <c r="M53" s="147"/>
      <c r="N53" s="147"/>
      <c r="O53" s="147"/>
      <c r="P53" s="147"/>
      <c r="Q53" s="147"/>
      <c r="R53" s="517">
        <f t="shared" si="18"/>
        <v>150000</v>
      </c>
      <c r="S53" s="147">
        <f>C53</f>
        <v>147959</v>
      </c>
      <c r="T53" s="147"/>
      <c r="U53" s="143"/>
    </row>
    <row r="54" spans="1:21" s="153" customFormat="1">
      <c r="A54" s="149" t="s">
        <v>157</v>
      </c>
      <c r="B54" s="150">
        <f>SUM(C54:D54)</f>
        <v>9141052</v>
      </c>
      <c r="C54" s="150">
        <f t="shared" ref="C54:T54" si="19">SUM(C45:C53)</f>
        <v>9019316</v>
      </c>
      <c r="D54" s="150">
        <f t="shared" si="19"/>
        <v>121736</v>
      </c>
      <c r="E54" s="150">
        <f t="shared" si="19"/>
        <v>9141052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3">
        <f t="shared" si="19"/>
        <v>9141052</v>
      </c>
      <c r="S54" s="150">
        <f t="shared" si="19"/>
        <v>5417477</v>
      </c>
      <c r="T54" s="150">
        <f t="shared" si="19"/>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41030</v>
      </c>
      <c r="C56" s="147">
        <f>ROUND([1]EVERYTHING!$E$68,0)</f>
        <v>41030</v>
      </c>
      <c r="D56" s="147"/>
      <c r="E56" s="147">
        <f t="shared" ref="E56:E61" si="21">B56-SUM(F56:M56)</f>
        <v>41030</v>
      </c>
      <c r="F56" s="147"/>
      <c r="G56" s="147"/>
      <c r="H56" s="147"/>
      <c r="I56" s="147"/>
      <c r="J56" s="147"/>
      <c r="K56" s="147"/>
      <c r="L56" s="147"/>
      <c r="M56" s="147"/>
      <c r="N56" s="147"/>
      <c r="O56" s="147"/>
      <c r="P56" s="147"/>
      <c r="Q56" s="147"/>
      <c r="R56" s="517">
        <f t="shared" ref="R56:R61" si="22">SUM(E56:Q56)</f>
        <v>41030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7">
        <f t="shared" si="22"/>
        <v>0</v>
      </c>
      <c r="S57" s="194"/>
      <c r="T57" s="194"/>
      <c r="U57" s="191"/>
    </row>
    <row r="58" spans="1:21" s="144" customFormat="1">
      <c r="A58" s="145" t="s">
        <v>156</v>
      </c>
      <c r="B58" s="146">
        <f t="shared" si="20"/>
        <v>25000</v>
      </c>
      <c r="C58" s="147">
        <f>ROUND([1]EVERYTHING!$E$70,0)</f>
        <v>25000</v>
      </c>
      <c r="D58" s="147"/>
      <c r="E58" s="147">
        <f t="shared" si="21"/>
        <v>25000</v>
      </c>
      <c r="F58" s="147"/>
      <c r="G58" s="147"/>
      <c r="H58" s="147"/>
      <c r="I58" s="147"/>
      <c r="J58" s="147"/>
      <c r="K58" s="147"/>
      <c r="L58" s="147"/>
      <c r="M58" s="147"/>
      <c r="N58" s="147"/>
      <c r="O58" s="147"/>
      <c r="P58" s="147"/>
      <c r="Q58" s="147"/>
      <c r="R58" s="517">
        <f t="shared" si="22"/>
        <v>25000</v>
      </c>
      <c r="S58" s="148"/>
      <c r="T58" s="148"/>
      <c r="U58" s="143"/>
    </row>
    <row r="59" spans="1:21" s="144" customFormat="1">
      <c r="A59" s="284" t="s">
        <v>154</v>
      </c>
      <c r="B59" s="146">
        <f t="shared" si="20"/>
        <v>0</v>
      </c>
      <c r="C59" s="147"/>
      <c r="D59" s="147"/>
      <c r="E59" s="147">
        <f t="shared" si="21"/>
        <v>0</v>
      </c>
      <c r="F59" s="147"/>
      <c r="G59" s="147"/>
      <c r="H59" s="147"/>
      <c r="I59" s="147"/>
      <c r="J59" s="147"/>
      <c r="K59" s="147"/>
      <c r="L59" s="147"/>
      <c r="M59" s="147"/>
      <c r="N59" s="147"/>
      <c r="O59" s="147"/>
      <c r="P59" s="147"/>
      <c r="Q59" s="147"/>
      <c r="R59" s="517">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7">
        <f t="shared" si="22"/>
        <v>0</v>
      </c>
      <c r="S60" s="148"/>
      <c r="T60" s="148"/>
      <c r="U60" s="143"/>
    </row>
    <row r="61" spans="1:21" s="144" customFormat="1">
      <c r="A61" s="1151" t="s">
        <v>34</v>
      </c>
      <c r="B61" s="146">
        <f t="shared" si="20"/>
        <v>0</v>
      </c>
      <c r="C61" s="147"/>
      <c r="D61" s="147"/>
      <c r="E61" s="147">
        <f t="shared" si="21"/>
        <v>0</v>
      </c>
      <c r="F61" s="147"/>
      <c r="G61" s="147"/>
      <c r="H61" s="147"/>
      <c r="I61" s="147"/>
      <c r="J61" s="147"/>
      <c r="K61" s="147"/>
      <c r="L61" s="147"/>
      <c r="M61" s="147"/>
      <c r="N61" s="147"/>
      <c r="O61" s="147"/>
      <c r="P61" s="147"/>
      <c r="Q61" s="147"/>
      <c r="R61" s="517">
        <f t="shared" si="22"/>
        <v>0</v>
      </c>
      <c r="S61" s="148"/>
      <c r="T61" s="148"/>
      <c r="U61" s="143"/>
    </row>
    <row r="62" spans="1:21" s="144" customFormat="1" ht="13.75" customHeight="1">
      <c r="A62" s="149" t="s">
        <v>301</v>
      </c>
      <c r="B62" s="146">
        <f>SUM(C62:D62)</f>
        <v>66030</v>
      </c>
      <c r="C62" s="146">
        <f t="shared" ref="C62:R62" si="23">SUM(C56:C61)</f>
        <v>66030</v>
      </c>
      <c r="D62" s="146">
        <f t="shared" si="23"/>
        <v>0</v>
      </c>
      <c r="E62" s="146">
        <f t="shared" si="23"/>
        <v>66030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3">
        <f t="shared" si="23"/>
        <v>66030</v>
      </c>
      <c r="S62" s="148"/>
      <c r="T62" s="148"/>
      <c r="U62" s="143"/>
    </row>
    <row r="63" spans="1:21" s="144" customFormat="1">
      <c r="A63" s="154" t="s">
        <v>302</v>
      </c>
      <c r="B63" s="146">
        <f t="shared" ref="B63:R63" ca="1" si="24">SUM(B8+B11+B13+B14+B15+B26+B27+B38+B42+B43+B54+B62)</f>
        <v>84044301</v>
      </c>
      <c r="C63" s="146">
        <f t="shared" ca="1" si="24"/>
        <v>82904305</v>
      </c>
      <c r="D63" s="146">
        <f t="shared" ca="1" si="24"/>
        <v>1139996</v>
      </c>
      <c r="E63" s="146">
        <f t="shared" ca="1" si="24"/>
        <v>27214293</v>
      </c>
      <c r="F63" s="146">
        <f t="shared" si="24"/>
        <v>4103000</v>
      </c>
      <c r="G63" s="146">
        <f t="shared" ca="1" si="24"/>
        <v>31288198</v>
      </c>
      <c r="H63" s="146">
        <f t="shared" si="24"/>
        <v>17276908</v>
      </c>
      <c r="I63" s="146">
        <f t="shared" si="24"/>
        <v>3711802</v>
      </c>
      <c r="J63" s="146">
        <f t="shared" si="24"/>
        <v>450000</v>
      </c>
      <c r="K63" s="146">
        <f t="shared" si="24"/>
        <v>100</v>
      </c>
      <c r="L63" s="146">
        <f t="shared" si="24"/>
        <v>0</v>
      </c>
      <c r="M63" s="146">
        <f t="shared" si="24"/>
        <v>0</v>
      </c>
      <c r="N63" s="146">
        <f t="shared" si="24"/>
        <v>0</v>
      </c>
      <c r="O63" s="146">
        <f t="shared" si="24"/>
        <v>0</v>
      </c>
      <c r="P63" s="146">
        <f t="shared" si="24"/>
        <v>0</v>
      </c>
      <c r="Q63" s="146">
        <f t="shared" si="24"/>
        <v>0</v>
      </c>
      <c r="R63" s="343">
        <f t="shared" ca="1" si="24"/>
        <v>84044301</v>
      </c>
      <c r="S63" s="146">
        <f ca="1">SUM(S10+S13+S14+S15+S26+S27+S38+S42+S43+S54)</f>
        <v>72648916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ROUND([1]EVERYTHING!$E$75,0)</f>
        <v>118367</v>
      </c>
      <c r="D65" s="147">
        <f>ROUND([1]EVERYTHING!$F$75,0)</f>
        <v>1633</v>
      </c>
      <c r="E65" s="147">
        <f>B65-SUM(F65:M65)</f>
        <v>120000</v>
      </c>
      <c r="F65" s="147"/>
      <c r="G65" s="147"/>
      <c r="H65" s="147"/>
      <c r="I65" s="147"/>
      <c r="J65" s="147"/>
      <c r="K65" s="147"/>
      <c r="L65" s="147"/>
      <c r="M65" s="147"/>
      <c r="N65" s="147"/>
      <c r="O65" s="147"/>
      <c r="P65" s="147"/>
      <c r="Q65" s="147"/>
      <c r="R65" s="517">
        <f>SUM(E65:Q65)</f>
        <v>120000</v>
      </c>
      <c r="S65" s="147">
        <f>ROUND([1]EVERYTHING!$G$75,0)</f>
        <v>6202</v>
      </c>
      <c r="T65" s="147"/>
      <c r="U65" s="143"/>
    </row>
    <row r="66" spans="1:21" s="144" customFormat="1" ht="24" customHeight="1">
      <c r="A66" s="284" t="s">
        <v>1642</v>
      </c>
      <c r="B66" s="146">
        <f>SUM(C66+D66)</f>
        <v>0</v>
      </c>
      <c r="C66" s="147"/>
      <c r="D66" s="147"/>
      <c r="E66" s="147">
        <f t="shared" ref="E66:E69" si="25">B66-SUM(F66:M66)</f>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f t="shared" si="25"/>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f t="shared" si="25"/>
        <v>0</v>
      </c>
      <c r="F68" s="147"/>
      <c r="G68" s="147"/>
      <c r="H68" s="147"/>
      <c r="I68" s="147"/>
      <c r="J68" s="147"/>
      <c r="K68" s="147"/>
      <c r="L68" s="147"/>
      <c r="M68" s="147"/>
      <c r="N68" s="147"/>
      <c r="O68" s="147"/>
      <c r="P68" s="147"/>
      <c r="Q68" s="147"/>
      <c r="R68" s="517">
        <f>SUM(E68:Q68)</f>
        <v>0</v>
      </c>
      <c r="S68" s="147"/>
      <c r="T68" s="147"/>
      <c r="U68" s="143"/>
    </row>
    <row r="69" spans="1:21" s="144" customFormat="1">
      <c r="A69" s="1151" t="s">
        <v>2749</v>
      </c>
      <c r="B69" s="146">
        <f>SUM(C69+D69)</f>
        <v>85000</v>
      </c>
      <c r="C69" s="147">
        <f>ROUND(([1]EVERYTHING!$E$71+[1]EVERYTHING!$E$77),0)</f>
        <v>83980</v>
      </c>
      <c r="D69" s="147">
        <f>ROUND([1]EVERYTHING!$F$77,0)</f>
        <v>1020</v>
      </c>
      <c r="E69" s="147">
        <f t="shared" si="25"/>
        <v>85000</v>
      </c>
      <c r="F69" s="147"/>
      <c r="G69" s="147"/>
      <c r="H69" s="147"/>
      <c r="I69" s="147"/>
      <c r="J69" s="147"/>
      <c r="K69" s="147"/>
      <c r="L69" s="147"/>
      <c r="M69" s="147"/>
      <c r="N69" s="147"/>
      <c r="O69" s="147"/>
      <c r="P69" s="147"/>
      <c r="Q69" s="147"/>
      <c r="R69" s="517">
        <f>SUM(E69:Q69)</f>
        <v>85000</v>
      </c>
      <c r="S69" s="147">
        <f>ROUND([1]EVERYTHING!$G$77,0)</f>
        <v>73980</v>
      </c>
      <c r="T69" s="147"/>
      <c r="U69" s="143"/>
    </row>
    <row r="70" spans="1:21" s="144" customFormat="1">
      <c r="A70" s="149" t="s">
        <v>1646</v>
      </c>
      <c r="B70" s="146">
        <f>SUM(C70:D70)</f>
        <v>205000</v>
      </c>
      <c r="C70" s="146">
        <f>SUM(C65:C69)</f>
        <v>202347</v>
      </c>
      <c r="D70" s="146">
        <f>SUM(D65:D69)</f>
        <v>2653</v>
      </c>
      <c r="E70" s="146">
        <f t="shared" ref="E70:T70" si="26">SUM(E65:E69)</f>
        <v>205000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3">
        <f t="shared" si="26"/>
        <v>205000</v>
      </c>
      <c r="S70" s="150">
        <f t="shared" si="26"/>
        <v>80182</v>
      </c>
      <c r="T70" s="150">
        <f t="shared" si="26"/>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B72-SUM(F72:M72)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f t="shared" si="27"/>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498765</v>
      </c>
      <c r="C75" s="147">
        <f>ROUND([1]EVERYTHING!$E$80,0)</f>
        <v>498765</v>
      </c>
      <c r="D75" s="147"/>
      <c r="E75" s="147">
        <f t="shared" si="27"/>
        <v>498765</v>
      </c>
      <c r="F75" s="147"/>
      <c r="G75" s="147"/>
      <c r="H75" s="147"/>
      <c r="I75" s="147"/>
      <c r="J75" s="147"/>
      <c r="K75" s="147"/>
      <c r="L75" s="147"/>
      <c r="M75" s="147"/>
      <c r="N75" s="147"/>
      <c r="O75" s="147"/>
      <c r="P75" s="147"/>
      <c r="Q75" s="147"/>
      <c r="R75" s="517">
        <f>SUM(E75:Q75)</f>
        <v>498765</v>
      </c>
      <c r="S75" s="148"/>
      <c r="T75" s="148"/>
      <c r="U75" s="143"/>
    </row>
    <row r="76" spans="1:21" s="144" customFormat="1">
      <c r="A76" s="1151" t="s">
        <v>2763</v>
      </c>
      <c r="B76" s="146">
        <f>SUM(C76+D76)</f>
        <v>200000</v>
      </c>
      <c r="C76" s="147">
        <f>ROUND([1]EVERYTHING!$E$81,0)</f>
        <v>200000</v>
      </c>
      <c r="D76" s="147"/>
      <c r="E76" s="147">
        <f t="shared" si="27"/>
        <v>200000</v>
      </c>
      <c r="F76" s="147"/>
      <c r="G76" s="147"/>
      <c r="H76" s="147"/>
      <c r="I76" s="147"/>
      <c r="J76" s="147"/>
      <c r="K76" s="147"/>
      <c r="L76" s="147"/>
      <c r="M76" s="147"/>
      <c r="N76" s="147"/>
      <c r="O76" s="147"/>
      <c r="P76" s="147"/>
      <c r="Q76" s="147"/>
      <c r="R76" s="517">
        <f>SUM(E76:Q76)</f>
        <v>200000</v>
      </c>
      <c r="S76" s="148"/>
      <c r="T76" s="148"/>
      <c r="U76" s="143"/>
    </row>
    <row r="77" spans="1:21" s="144" customFormat="1">
      <c r="A77" s="149" t="s">
        <v>607</v>
      </c>
      <c r="B77" s="146">
        <f>SUM(C77:D77)</f>
        <v>698765</v>
      </c>
      <c r="C77" s="146">
        <f>SUM(C72:C76)</f>
        <v>698765</v>
      </c>
      <c r="D77" s="146">
        <f>SUM(D72:D76)</f>
        <v>0</v>
      </c>
      <c r="E77" s="146">
        <f t="shared" ref="E77:Q77" si="28">SUM(E72:E76)</f>
        <v>698765</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3">
        <f>SUM(R72:R76)</f>
        <v>698765</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3878689</v>
      </c>
      <c r="C79" s="147">
        <f>ROUND([1]EVERYTHING!$E$85,0)-2</f>
        <v>3825915</v>
      </c>
      <c r="D79" s="147">
        <f>ROUND([1]EVERYTHING!$F$85,0)-1</f>
        <v>52774</v>
      </c>
      <c r="E79" s="147">
        <f t="shared" ref="E79:E80" si="29">B79-SUM(F79:M79)</f>
        <v>3878689</v>
      </c>
      <c r="F79" s="147"/>
      <c r="G79" s="147"/>
      <c r="H79" s="147"/>
      <c r="I79" s="147"/>
      <c r="J79" s="147"/>
      <c r="K79" s="147"/>
      <c r="L79" s="147"/>
      <c r="M79" s="147"/>
      <c r="N79" s="147"/>
      <c r="O79" s="147"/>
      <c r="P79" s="147"/>
      <c r="Q79" s="147"/>
      <c r="R79" s="517">
        <f>SUM(E79:Q79)</f>
        <v>3878689</v>
      </c>
      <c r="S79" s="147">
        <f>C79</f>
        <v>3825915</v>
      </c>
      <c r="T79" s="147"/>
      <c r="U79" s="143"/>
    </row>
    <row r="80" spans="1:21" s="144" customFormat="1">
      <c r="A80" s="284" t="s">
        <v>58</v>
      </c>
      <c r="B80" s="146">
        <f>SUM(C80:D80)</f>
        <v>500000</v>
      </c>
      <c r="C80" s="147">
        <f>ROUND([1]EVERYTHING!$E$98,0)</f>
        <v>493197</v>
      </c>
      <c r="D80" s="147">
        <f>ROUND([1]EVERYTHING!$F$98,0)</f>
        <v>6803</v>
      </c>
      <c r="E80" s="147">
        <f t="shared" si="29"/>
        <v>500000</v>
      </c>
      <c r="F80" s="147"/>
      <c r="G80" s="147"/>
      <c r="H80" s="147"/>
      <c r="I80" s="147"/>
      <c r="J80" s="147"/>
      <c r="K80" s="147"/>
      <c r="L80" s="147"/>
      <c r="M80" s="147"/>
      <c r="N80" s="147"/>
      <c r="O80" s="147"/>
      <c r="P80" s="147"/>
      <c r="Q80" s="147"/>
      <c r="R80" s="517">
        <f>SUM(E80:Q80)</f>
        <v>500000</v>
      </c>
      <c r="S80" s="147">
        <f>C80</f>
        <v>493197</v>
      </c>
      <c r="T80" s="147"/>
      <c r="U80" s="143"/>
    </row>
    <row r="81" spans="1:21" s="144" customFormat="1">
      <c r="A81" s="149" t="s">
        <v>1210</v>
      </c>
      <c r="B81" s="146">
        <f>SUM(C81:D81)</f>
        <v>4378689</v>
      </c>
      <c r="C81" s="510">
        <f>SUM(C79:C80)</f>
        <v>4319112</v>
      </c>
      <c r="D81" s="510">
        <f t="shared" ref="D81:T81" si="30">SUM(D79:D80)</f>
        <v>59577</v>
      </c>
      <c r="E81" s="510">
        <f t="shared" si="30"/>
        <v>4378689</v>
      </c>
      <c r="F81" s="510">
        <f t="shared" si="30"/>
        <v>0</v>
      </c>
      <c r="G81" s="510">
        <f t="shared" si="30"/>
        <v>0</v>
      </c>
      <c r="H81" s="510">
        <f t="shared" si="30"/>
        <v>0</v>
      </c>
      <c r="I81" s="510">
        <f t="shared" si="30"/>
        <v>0</v>
      </c>
      <c r="J81" s="510">
        <f t="shared" si="30"/>
        <v>0</v>
      </c>
      <c r="K81" s="510">
        <f t="shared" si="30"/>
        <v>0</v>
      </c>
      <c r="L81" s="510">
        <f t="shared" si="30"/>
        <v>0</v>
      </c>
      <c r="M81" s="510">
        <f t="shared" si="30"/>
        <v>0</v>
      </c>
      <c r="N81" s="510">
        <f t="shared" si="30"/>
        <v>0</v>
      </c>
      <c r="O81" s="510">
        <f t="shared" si="30"/>
        <v>0</v>
      </c>
      <c r="P81" s="510">
        <f t="shared" si="30"/>
        <v>0</v>
      </c>
      <c r="Q81" s="510">
        <f t="shared" si="30"/>
        <v>0</v>
      </c>
      <c r="R81" s="510">
        <f t="shared" si="30"/>
        <v>4378689</v>
      </c>
      <c r="S81" s="510">
        <f t="shared" si="30"/>
        <v>4319112</v>
      </c>
      <c r="T81" s="510">
        <f t="shared" si="30"/>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31">SUM(C83+D83)</f>
        <v>136466</v>
      </c>
      <c r="C83" s="147">
        <f>ROUND([1]EVERYTHING!$E$87,0)</f>
        <v>134609</v>
      </c>
      <c r="D83" s="147">
        <f>ROUND([1]EVERYTHING!$F$87,0)</f>
        <v>1857</v>
      </c>
      <c r="E83" s="147">
        <f t="shared" ref="E83:E95" si="32">B83-SUM(F83:M83)</f>
        <v>136466</v>
      </c>
      <c r="F83" s="147"/>
      <c r="G83" s="147"/>
      <c r="H83" s="147"/>
      <c r="I83" s="147"/>
      <c r="J83" s="147"/>
      <c r="K83" s="147"/>
      <c r="L83" s="147"/>
      <c r="M83" s="147"/>
      <c r="N83" s="147"/>
      <c r="O83" s="147"/>
      <c r="P83" s="147"/>
      <c r="Q83" s="147"/>
      <c r="R83" s="517">
        <f t="shared" ref="R83:R95" si="33">SUM(E83:Q83)</f>
        <v>136466</v>
      </c>
      <c r="S83" s="148"/>
      <c r="T83" s="148"/>
      <c r="U83" s="143"/>
    </row>
    <row r="84" spans="1:21" s="144" customFormat="1">
      <c r="A84" s="145" t="s">
        <v>768</v>
      </c>
      <c r="B84" s="146">
        <f t="shared" si="31"/>
        <v>751158</v>
      </c>
      <c r="C84" s="147">
        <f>ROUND([1]EVERYTHING!$E$89,0)</f>
        <v>740938</v>
      </c>
      <c r="D84" s="147">
        <f>ROUND([1]EVERYTHING!$F$89,0)</f>
        <v>10220</v>
      </c>
      <c r="E84" s="147">
        <f t="shared" si="32"/>
        <v>751158</v>
      </c>
      <c r="F84" s="147"/>
      <c r="G84" s="147"/>
      <c r="H84" s="147"/>
      <c r="I84" s="147"/>
      <c r="J84" s="147"/>
      <c r="K84" s="147"/>
      <c r="L84" s="147"/>
      <c r="M84" s="147"/>
      <c r="N84" s="147"/>
      <c r="O84" s="147"/>
      <c r="P84" s="147"/>
      <c r="Q84" s="147"/>
      <c r="R84" s="517">
        <f t="shared" si="33"/>
        <v>751158</v>
      </c>
      <c r="S84" s="147">
        <f>C84</f>
        <v>740938</v>
      </c>
      <c r="T84" s="147"/>
      <c r="U84" s="143"/>
    </row>
    <row r="85" spans="1:21" s="144" customFormat="1">
      <c r="A85" s="145" t="s">
        <v>769</v>
      </c>
      <c r="B85" s="146">
        <f t="shared" si="31"/>
        <v>4578757</v>
      </c>
      <c r="C85" s="147">
        <f>ROUND([1]EVERYTHING!$E$91,0)</f>
        <v>4516457</v>
      </c>
      <c r="D85" s="147">
        <f>ROUND([1]EVERYTHING!$F$91,0)</f>
        <v>62300</v>
      </c>
      <c r="E85" s="147">
        <f t="shared" si="32"/>
        <v>4578757</v>
      </c>
      <c r="F85" s="147"/>
      <c r="G85" s="147"/>
      <c r="H85" s="147"/>
      <c r="I85" s="147"/>
      <c r="J85" s="147"/>
      <c r="K85" s="147"/>
      <c r="L85" s="147"/>
      <c r="M85" s="147"/>
      <c r="N85" s="147"/>
      <c r="O85" s="147"/>
      <c r="P85" s="147"/>
      <c r="Q85" s="147"/>
      <c r="R85" s="517">
        <f t="shared" si="33"/>
        <v>4578757</v>
      </c>
      <c r="S85" s="147">
        <f>C85</f>
        <v>4516457</v>
      </c>
      <c r="T85" s="147"/>
      <c r="U85" s="143"/>
    </row>
    <row r="86" spans="1:21" s="144" customFormat="1">
      <c r="A86" s="145" t="s">
        <v>770</v>
      </c>
      <c r="B86" s="146">
        <f t="shared" si="31"/>
        <v>1312568</v>
      </c>
      <c r="C86" s="147">
        <f>ROUND([1]EVERYTHING!$E$92,0)</f>
        <v>1294709</v>
      </c>
      <c r="D86" s="147">
        <f>ROUND([1]EVERYTHING!$F$92,0)</f>
        <v>17859</v>
      </c>
      <c r="E86" s="147">
        <f t="shared" si="32"/>
        <v>1312568</v>
      </c>
      <c r="F86" s="147"/>
      <c r="G86" s="147"/>
      <c r="H86" s="147"/>
      <c r="I86" s="147"/>
      <c r="J86" s="147"/>
      <c r="K86" s="147"/>
      <c r="L86" s="147"/>
      <c r="M86" s="147"/>
      <c r="N86" s="147"/>
      <c r="O86" s="147"/>
      <c r="P86" s="147"/>
      <c r="Q86" s="147"/>
      <c r="R86" s="517">
        <f t="shared" si="33"/>
        <v>1312568</v>
      </c>
      <c r="S86" s="147">
        <f>C86</f>
        <v>1294709</v>
      </c>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7">
        <f t="shared" si="33"/>
        <v>0</v>
      </c>
      <c r="S87" s="147"/>
      <c r="T87" s="147"/>
      <c r="U87" s="143"/>
    </row>
    <row r="88" spans="1:21" s="144" customFormat="1">
      <c r="A88" s="145" t="s">
        <v>772</v>
      </c>
      <c r="B88" s="146">
        <f t="shared" si="31"/>
        <v>205500</v>
      </c>
      <c r="C88" s="147">
        <f>ROUND([1]EVERYTHING!$E$94,0)</f>
        <v>205500</v>
      </c>
      <c r="D88" s="147"/>
      <c r="E88" s="147">
        <f t="shared" si="32"/>
        <v>205500</v>
      </c>
      <c r="F88" s="147"/>
      <c r="G88" s="147"/>
      <c r="H88" s="147"/>
      <c r="I88" s="147"/>
      <c r="J88" s="147"/>
      <c r="K88" s="147"/>
      <c r="L88" s="147"/>
      <c r="M88" s="147"/>
      <c r="N88" s="147"/>
      <c r="O88" s="147"/>
      <c r="P88" s="147"/>
      <c r="Q88" s="147"/>
      <c r="R88" s="517">
        <f t="shared" si="33"/>
        <v>205500</v>
      </c>
      <c r="S88" s="148"/>
      <c r="T88" s="148"/>
      <c r="U88" s="143"/>
    </row>
    <row r="89" spans="1:21" s="144" customFormat="1">
      <c r="A89" s="145" t="s">
        <v>773</v>
      </c>
      <c r="B89" s="146">
        <f t="shared" si="31"/>
        <v>120000</v>
      </c>
      <c r="C89" s="147">
        <f>[1]EVERYTHING!$E$96</f>
        <v>120000</v>
      </c>
      <c r="D89" s="147"/>
      <c r="E89" s="147">
        <f t="shared" si="32"/>
        <v>120000</v>
      </c>
      <c r="F89" s="147"/>
      <c r="G89" s="147"/>
      <c r="H89" s="147"/>
      <c r="I89" s="147"/>
      <c r="J89" s="147"/>
      <c r="K89" s="147"/>
      <c r="L89" s="147"/>
      <c r="M89" s="147"/>
      <c r="N89" s="147"/>
      <c r="O89" s="147"/>
      <c r="P89" s="147"/>
      <c r="Q89" s="147"/>
      <c r="R89" s="517">
        <f t="shared" si="33"/>
        <v>120000</v>
      </c>
      <c r="S89" s="147">
        <f>C89</f>
        <v>120000</v>
      </c>
      <c r="T89" s="147"/>
      <c r="U89" s="143"/>
    </row>
    <row r="90" spans="1:21" s="144" customFormat="1">
      <c r="A90" s="145" t="s">
        <v>774</v>
      </c>
      <c r="B90" s="146">
        <f t="shared" si="31"/>
        <v>12600</v>
      </c>
      <c r="C90" s="147">
        <f>[1]EVERYTHING!$E$93</f>
        <v>12600</v>
      </c>
      <c r="D90" s="147"/>
      <c r="E90" s="147">
        <f t="shared" si="32"/>
        <v>12600</v>
      </c>
      <c r="F90" s="147"/>
      <c r="G90" s="147"/>
      <c r="H90" s="147"/>
      <c r="I90" s="147"/>
      <c r="J90" s="147"/>
      <c r="K90" s="147"/>
      <c r="L90" s="147"/>
      <c r="M90" s="147"/>
      <c r="N90" s="147"/>
      <c r="O90" s="147"/>
      <c r="P90" s="147"/>
      <c r="Q90" s="147"/>
      <c r="R90" s="517">
        <f t="shared" si="33"/>
        <v>12600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7">
        <f t="shared" si="33"/>
        <v>0</v>
      </c>
      <c r="S91" s="147"/>
      <c r="T91" s="147"/>
      <c r="U91" s="143"/>
    </row>
    <row r="92" spans="1:21" s="144" customFormat="1">
      <c r="A92" s="284" t="s">
        <v>1212</v>
      </c>
      <c r="B92" s="146">
        <f t="shared" si="31"/>
        <v>4530</v>
      </c>
      <c r="C92" s="147">
        <f>ROUND([1]EVERYTHING!$E$84,0)</f>
        <v>4468</v>
      </c>
      <c r="D92" s="147">
        <f>ROUND([1]EVERYTHING!$F$84,0)</f>
        <v>62</v>
      </c>
      <c r="E92" s="147">
        <f t="shared" si="32"/>
        <v>4530</v>
      </c>
      <c r="F92" s="147"/>
      <c r="G92" s="147"/>
      <c r="H92" s="147"/>
      <c r="I92" s="147"/>
      <c r="J92" s="147"/>
      <c r="K92" s="147"/>
      <c r="L92" s="147"/>
      <c r="M92" s="147"/>
      <c r="N92" s="147"/>
      <c r="O92" s="147"/>
      <c r="P92" s="147"/>
      <c r="Q92" s="147"/>
      <c r="R92" s="517">
        <f t="shared" si="33"/>
        <v>4530</v>
      </c>
      <c r="S92" s="147">
        <f>C92</f>
        <v>4468</v>
      </c>
      <c r="T92" s="147"/>
      <c r="U92" s="143"/>
    </row>
    <row r="93" spans="1:21" s="144" customFormat="1">
      <c r="A93" s="1151" t="s">
        <v>2750</v>
      </c>
      <c r="B93" s="146">
        <f t="shared" si="31"/>
        <v>55000</v>
      </c>
      <c r="C93" s="147">
        <f>ROUND([1]EVERYTHING!$E$88,0)</f>
        <v>54252</v>
      </c>
      <c r="D93" s="147">
        <f>ROUND([1]EVERYTHING!$F$88,0)</f>
        <v>748</v>
      </c>
      <c r="E93" s="147">
        <f t="shared" si="32"/>
        <v>55000</v>
      </c>
      <c r="F93" s="147"/>
      <c r="G93" s="147"/>
      <c r="H93" s="147"/>
      <c r="I93" s="147"/>
      <c r="J93" s="147"/>
      <c r="K93" s="147"/>
      <c r="L93" s="147"/>
      <c r="M93" s="147"/>
      <c r="N93" s="147"/>
      <c r="O93" s="147"/>
      <c r="P93" s="147"/>
      <c r="Q93" s="147"/>
      <c r="R93" s="517">
        <f t="shared" si="33"/>
        <v>55000</v>
      </c>
      <c r="S93" s="147">
        <f t="shared" ref="S93:S95" si="34">C93</f>
        <v>54252</v>
      </c>
      <c r="T93" s="147"/>
      <c r="U93" s="143"/>
    </row>
    <row r="94" spans="1:21" s="144" customFormat="1">
      <c r="A94" s="1151" t="s">
        <v>2751</v>
      </c>
      <c r="B94" s="146">
        <f t="shared" si="31"/>
        <v>400000</v>
      </c>
      <c r="C94" s="147">
        <f>ROUND([1]EVERYTHING!$E$95,0)</f>
        <v>394557</v>
      </c>
      <c r="D94" s="147">
        <f>ROUND([1]EVERYTHING!$F$95,0)</f>
        <v>5443</v>
      </c>
      <c r="E94" s="147">
        <f t="shared" si="32"/>
        <v>400000</v>
      </c>
      <c r="F94" s="147"/>
      <c r="G94" s="147"/>
      <c r="H94" s="147"/>
      <c r="I94" s="147"/>
      <c r="J94" s="147"/>
      <c r="K94" s="147"/>
      <c r="L94" s="147"/>
      <c r="M94" s="147"/>
      <c r="N94" s="147"/>
      <c r="O94" s="147"/>
      <c r="P94" s="147"/>
      <c r="Q94" s="147"/>
      <c r="R94" s="517">
        <f t="shared" si="33"/>
        <v>400000</v>
      </c>
      <c r="S94" s="147">
        <f t="shared" si="34"/>
        <v>394557</v>
      </c>
      <c r="T94" s="147"/>
      <c r="U94" s="143"/>
    </row>
    <row r="95" spans="1:21" s="144" customFormat="1">
      <c r="A95" s="1151" t="s">
        <v>34</v>
      </c>
      <c r="B95" s="146">
        <f t="shared" si="31"/>
        <v>0</v>
      </c>
      <c r="C95" s="147"/>
      <c r="D95" s="147"/>
      <c r="E95" s="147">
        <f t="shared" si="32"/>
        <v>0</v>
      </c>
      <c r="F95" s="147"/>
      <c r="G95" s="147"/>
      <c r="H95" s="147"/>
      <c r="I95" s="147"/>
      <c r="J95" s="147"/>
      <c r="K95" s="147"/>
      <c r="L95" s="147"/>
      <c r="M95" s="147"/>
      <c r="N95" s="147"/>
      <c r="O95" s="147"/>
      <c r="P95" s="147"/>
      <c r="Q95" s="147"/>
      <c r="R95" s="517">
        <f t="shared" si="33"/>
        <v>0</v>
      </c>
      <c r="S95" s="147">
        <f t="shared" si="34"/>
        <v>0</v>
      </c>
      <c r="T95" s="147"/>
      <c r="U95" s="143"/>
    </row>
    <row r="96" spans="1:21" s="144" customFormat="1">
      <c r="A96" s="149" t="s">
        <v>775</v>
      </c>
      <c r="B96" s="146">
        <f>SUM(C96:D96)</f>
        <v>7576579</v>
      </c>
      <c r="C96" s="146">
        <f t="shared" ref="C96:R96" si="35">SUM(C83:C95)</f>
        <v>7478090</v>
      </c>
      <c r="D96" s="146">
        <f t="shared" si="35"/>
        <v>98489</v>
      </c>
      <c r="E96" s="146">
        <f t="shared" si="35"/>
        <v>7576579</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3">
        <f t="shared" si="35"/>
        <v>7576579</v>
      </c>
      <c r="S96" s="150">
        <f>SUM(S84:S87,S89:S95)</f>
        <v>7125381</v>
      </c>
      <c r="T96" s="146">
        <f>SUM(T84:T87,T89:T95)</f>
        <v>0</v>
      </c>
      <c r="U96" s="143"/>
    </row>
    <row r="97" spans="1:21" s="144" customFormat="1">
      <c r="A97" s="149" t="s">
        <v>776</v>
      </c>
      <c r="B97" s="146">
        <f ca="1">SUM(C97:D97)</f>
        <v>96903334</v>
      </c>
      <c r="C97" s="146">
        <f t="shared" ref="C97:R97" ca="1" si="36">SUM(C63+C70+C77+C81+C96)</f>
        <v>95602619</v>
      </c>
      <c r="D97" s="146">
        <f t="shared" ca="1" si="36"/>
        <v>1300715</v>
      </c>
      <c r="E97" s="146">
        <f t="shared" ca="1" si="36"/>
        <v>40073326</v>
      </c>
      <c r="F97" s="146">
        <f t="shared" si="36"/>
        <v>4103000</v>
      </c>
      <c r="G97" s="146">
        <f t="shared" ca="1" si="36"/>
        <v>31288198</v>
      </c>
      <c r="H97" s="146">
        <f t="shared" si="36"/>
        <v>17276908</v>
      </c>
      <c r="I97" s="146">
        <f t="shared" si="36"/>
        <v>3711802</v>
      </c>
      <c r="J97" s="146">
        <f t="shared" si="36"/>
        <v>450000</v>
      </c>
      <c r="K97" s="146">
        <f t="shared" si="36"/>
        <v>100</v>
      </c>
      <c r="L97" s="146">
        <f t="shared" si="36"/>
        <v>0</v>
      </c>
      <c r="M97" s="146">
        <f t="shared" si="36"/>
        <v>0</v>
      </c>
      <c r="N97" s="146">
        <f t="shared" si="36"/>
        <v>0</v>
      </c>
      <c r="O97" s="146">
        <f t="shared" si="36"/>
        <v>0</v>
      </c>
      <c r="P97" s="146">
        <f t="shared" si="36"/>
        <v>0</v>
      </c>
      <c r="Q97" s="146">
        <f t="shared" si="36"/>
        <v>0</v>
      </c>
      <c r="R97" s="146">
        <f t="shared" ca="1" si="36"/>
        <v>96903334</v>
      </c>
      <c r="S97" s="146">
        <f ca="1">SUM(S63+S70+S81+S96)</f>
        <v>84173591</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3500000</v>
      </c>
      <c r="C99" s="980">
        <f>ROUND([1]EVERYTHING!$E$102,0)</f>
        <v>3452378</v>
      </c>
      <c r="D99" s="980">
        <f>ROUND([1]EVERYTHING!$F$102,0)</f>
        <v>47622</v>
      </c>
      <c r="E99" s="980">
        <f>B99-SUM(F99:M99)</f>
        <v>2200000</v>
      </c>
      <c r="F99" s="147"/>
      <c r="G99" s="147"/>
      <c r="H99" s="147"/>
      <c r="I99" s="147"/>
      <c r="J99" s="147"/>
      <c r="K99" s="147"/>
      <c r="L99" s="147">
        <f>Application!AO633</f>
        <v>1300000</v>
      </c>
      <c r="M99" s="147"/>
      <c r="N99" s="147"/>
      <c r="O99" s="147"/>
      <c r="P99" s="147"/>
      <c r="Q99" s="147"/>
      <c r="R99" s="517">
        <f>SUM(E99:Q99)</f>
        <v>3500000</v>
      </c>
      <c r="S99" s="147">
        <f>C99</f>
        <v>3452378</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3500000</v>
      </c>
      <c r="C104" s="146">
        <f>SUM(C99:C103)</f>
        <v>3452378</v>
      </c>
      <c r="D104" s="146">
        <f t="shared" ref="D104:T104" si="37">SUM(D99:D103)</f>
        <v>47622</v>
      </c>
      <c r="E104" s="146">
        <f t="shared" si="37"/>
        <v>2200000</v>
      </c>
      <c r="F104" s="146">
        <f t="shared" si="37"/>
        <v>0</v>
      </c>
      <c r="G104" s="146">
        <f t="shared" si="37"/>
        <v>0</v>
      </c>
      <c r="H104" s="146">
        <f t="shared" si="37"/>
        <v>0</v>
      </c>
      <c r="I104" s="146">
        <f t="shared" si="37"/>
        <v>0</v>
      </c>
      <c r="J104" s="146">
        <f t="shared" si="37"/>
        <v>0</v>
      </c>
      <c r="K104" s="146">
        <f t="shared" si="37"/>
        <v>0</v>
      </c>
      <c r="L104" s="146">
        <f t="shared" si="37"/>
        <v>1300000</v>
      </c>
      <c r="M104" s="146">
        <f t="shared" si="37"/>
        <v>0</v>
      </c>
      <c r="N104" s="146">
        <f t="shared" si="37"/>
        <v>0</v>
      </c>
      <c r="O104" s="146">
        <f t="shared" si="37"/>
        <v>0</v>
      </c>
      <c r="P104" s="146">
        <f t="shared" si="37"/>
        <v>0</v>
      </c>
      <c r="Q104" s="146">
        <f t="shared" si="37"/>
        <v>0</v>
      </c>
      <c r="R104" s="343">
        <f t="shared" si="37"/>
        <v>3500000</v>
      </c>
      <c r="S104" s="150">
        <f t="shared" si="37"/>
        <v>3452378</v>
      </c>
      <c r="T104" s="150">
        <f t="shared" si="37"/>
        <v>0</v>
      </c>
      <c r="U104" s="143"/>
    </row>
    <row r="105" spans="1:21" s="144" customFormat="1">
      <c r="A105" s="149" t="s">
        <v>781</v>
      </c>
      <c r="B105" s="150">
        <f ca="1">SUM(C105:D105)</f>
        <v>100403334</v>
      </c>
      <c r="C105" s="150">
        <f t="shared" ref="C105:R105" ca="1" si="38">SUM(C97+C104)</f>
        <v>99054997</v>
      </c>
      <c r="D105" s="150">
        <f t="shared" ca="1" si="38"/>
        <v>1348337</v>
      </c>
      <c r="E105" s="150">
        <f t="shared" ca="1" si="38"/>
        <v>42273326</v>
      </c>
      <c r="F105" s="150">
        <f t="shared" si="38"/>
        <v>4103000</v>
      </c>
      <c r="G105" s="150">
        <f t="shared" ca="1" si="38"/>
        <v>31288198</v>
      </c>
      <c r="H105" s="150">
        <f t="shared" si="38"/>
        <v>17276908</v>
      </c>
      <c r="I105" s="150">
        <f t="shared" si="38"/>
        <v>3711802</v>
      </c>
      <c r="J105" s="150">
        <f t="shared" si="38"/>
        <v>450000</v>
      </c>
      <c r="K105" s="150">
        <f t="shared" si="38"/>
        <v>100</v>
      </c>
      <c r="L105" s="150">
        <f t="shared" si="38"/>
        <v>1300000</v>
      </c>
      <c r="M105" s="150">
        <f t="shared" si="38"/>
        <v>0</v>
      </c>
      <c r="N105" s="150">
        <f t="shared" si="38"/>
        <v>0</v>
      </c>
      <c r="O105" s="150">
        <f t="shared" si="38"/>
        <v>0</v>
      </c>
      <c r="P105" s="150">
        <f t="shared" si="38"/>
        <v>0</v>
      </c>
      <c r="Q105" s="150">
        <f t="shared" si="38"/>
        <v>0</v>
      </c>
      <c r="R105" s="343">
        <f t="shared" ca="1" si="38"/>
        <v>100403334</v>
      </c>
      <c r="S105" s="150">
        <f ca="1">S97+S104</f>
        <v>87625969</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87625969</v>
      </c>
      <c r="T107" s="150">
        <f>T105+T106</f>
        <v>0</v>
      </c>
    </row>
    <row r="108" spans="1:21" s="189" customFormat="1">
      <c r="A108" s="162" t="s">
        <v>880</v>
      </c>
      <c r="B108" s="157"/>
      <c r="C108" s="157"/>
      <c r="D108" s="157"/>
      <c r="E108" s="302">
        <f>Application!AO640</f>
        <v>42273326</v>
      </c>
      <c r="F108" s="302">
        <f>Application!AO627</f>
        <v>4103000</v>
      </c>
      <c r="G108" s="302">
        <f>Application!AO628</f>
        <v>31288198</v>
      </c>
      <c r="H108" s="302">
        <f>Application!AO629</f>
        <v>17276908</v>
      </c>
      <c r="I108" s="302">
        <f>Application!AO630</f>
        <v>3711802</v>
      </c>
      <c r="J108" s="302">
        <f>Application!AO631</f>
        <v>450000</v>
      </c>
      <c r="K108" s="302">
        <f>Application!AO632</f>
        <v>100</v>
      </c>
      <c r="L108" s="302">
        <f>Application!AO633</f>
        <v>1300000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4" t="s">
        <v>991</v>
      </c>
      <c r="E122" s="1864"/>
      <c r="F122" s="1864"/>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6" t="s">
        <v>1225</v>
      </c>
      <c r="E123" s="1785"/>
      <c r="F123" s="1785"/>
      <c r="G123" s="1785"/>
      <c r="H123" s="1785"/>
      <c r="I123" s="1785"/>
      <c r="J123" s="1785"/>
      <c r="K123" s="1785"/>
      <c r="L123" s="1785"/>
      <c r="M123" s="1785"/>
      <c r="N123" s="1785"/>
      <c r="O123" s="1785"/>
      <c r="P123" s="1785"/>
      <c r="Q123" s="1785"/>
      <c r="R123" s="1785"/>
      <c r="S123" s="1785"/>
      <c r="T123" s="325"/>
      <c r="U123" s="327"/>
    </row>
    <row r="124" spans="1:21" ht="12.5">
      <c r="A124" s="117" t="s">
        <v>993</v>
      </c>
      <c r="B124" s="334"/>
      <c r="C124" s="117"/>
      <c r="D124" s="1785"/>
      <c r="E124" s="1785"/>
      <c r="F124" s="1785"/>
      <c r="G124" s="1785"/>
      <c r="H124" s="1785"/>
      <c r="I124" s="1785"/>
      <c r="J124" s="1785"/>
      <c r="K124" s="1785"/>
      <c r="L124" s="1785"/>
      <c r="M124" s="1785"/>
      <c r="N124" s="1785"/>
      <c r="O124" s="1785"/>
      <c r="P124" s="1785"/>
      <c r="Q124" s="1785"/>
      <c r="R124" s="1785"/>
      <c r="S124" s="1785"/>
      <c r="T124" s="325"/>
      <c r="U124" s="327"/>
    </row>
    <row r="125" spans="1:21" ht="12.5">
      <c r="A125" s="117" t="s">
        <v>994</v>
      </c>
      <c r="B125" s="334"/>
      <c r="C125" s="117"/>
      <c r="D125" s="1785"/>
      <c r="E125" s="1785"/>
      <c r="F125" s="1785"/>
      <c r="G125" s="1785"/>
      <c r="H125" s="1785"/>
      <c r="I125" s="1785"/>
      <c r="J125" s="1785"/>
      <c r="K125" s="1785"/>
      <c r="L125" s="1785"/>
      <c r="M125" s="1785"/>
      <c r="N125" s="1785"/>
      <c r="O125" s="1785"/>
      <c r="P125" s="1785"/>
      <c r="Q125" s="1785"/>
      <c r="R125" s="1785"/>
      <c r="S125" s="1785"/>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1"/>
      <c r="E128" s="1861"/>
      <c r="F128" s="1861"/>
      <c r="G128" s="1861"/>
      <c r="H128" s="1861"/>
      <c r="I128" s="117"/>
      <c r="J128" s="1862"/>
      <c r="K128" s="1862"/>
      <c r="L128" s="117"/>
      <c r="M128" s="117"/>
      <c r="N128" s="117"/>
      <c r="O128" s="117"/>
      <c r="P128" s="117"/>
      <c r="Q128" s="117"/>
      <c r="R128" s="117"/>
      <c r="S128" s="117"/>
      <c r="T128" s="325"/>
      <c r="U128" s="327"/>
    </row>
    <row r="129" spans="1:21" ht="12.5">
      <c r="A129" s="117" t="s">
        <v>300</v>
      </c>
      <c r="B129" s="334"/>
      <c r="C129" s="117"/>
      <c r="D129" s="1863" t="s">
        <v>998</v>
      </c>
      <c r="E129" s="1863"/>
      <c r="F129" s="1863"/>
      <c r="G129" s="1863"/>
      <c r="H129" s="1863"/>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7" t="s">
        <v>1001</v>
      </c>
      <c r="E132" s="1867"/>
      <c r="F132" s="1867"/>
      <c r="G132" s="1867"/>
      <c r="H132" s="1867"/>
      <c r="I132" s="117"/>
      <c r="J132" s="1867" t="s">
        <v>1002</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1"/>
      <c r="C138" s="1861"/>
      <c r="D138" s="329"/>
      <c r="E138" s="1862"/>
      <c r="F138" s="1862"/>
      <c r="G138" s="117"/>
      <c r="H138" s="117"/>
      <c r="I138" s="117"/>
      <c r="J138" s="117"/>
      <c r="K138" s="117"/>
      <c r="L138" s="117"/>
      <c r="M138" s="117"/>
      <c r="N138" s="117"/>
      <c r="O138" s="117"/>
      <c r="P138" s="117"/>
      <c r="Q138" s="117"/>
      <c r="R138" s="117"/>
      <c r="S138" s="117"/>
      <c r="T138" s="331"/>
      <c r="U138" s="332"/>
    </row>
    <row r="139" spans="1:21" ht="13">
      <c r="A139" s="1865" t="s">
        <v>1005</v>
      </c>
      <c r="B139" s="1865"/>
      <c r="C139" s="1865"/>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1" t="s">
        <v>1228</v>
      </c>
      <c r="B1" s="1872"/>
      <c r="C1" s="1872"/>
      <c r="D1" s="1872"/>
      <c r="E1" s="1872"/>
      <c r="F1" s="1872"/>
      <c r="G1" s="1872"/>
      <c r="H1" s="1872"/>
      <c r="I1" s="1872"/>
      <c r="J1" s="1873"/>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6510198</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37176</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6547374</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962578</v>
      </c>
      <c r="C10" s="363"/>
      <c r="D10" s="363"/>
      <c r="E10" s="362">
        <f>'Sources and Uses Budget'!S10</f>
        <v>962578</v>
      </c>
      <c r="F10" s="363"/>
      <c r="G10" s="363"/>
      <c r="H10" s="362">
        <f>'Sources and Uses Budget'!T10</f>
        <v>0</v>
      </c>
      <c r="I10" s="363"/>
      <c r="J10" s="363"/>
      <c r="K10" s="360"/>
    </row>
    <row r="11" spans="1:11" s="361" customFormat="1">
      <c r="A11" s="366" t="s">
        <v>597</v>
      </c>
      <c r="B11" s="362">
        <f>'Sources and Uses Budget'!C11</f>
        <v>962578</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7509952</v>
      </c>
      <c r="C12" s="362">
        <f>SUM(C8+C11)</f>
        <v>0</v>
      </c>
      <c r="D12" s="362">
        <f>SUM(D8+D11)</f>
        <v>0</v>
      </c>
      <c r="E12" s="364"/>
      <c r="F12" s="364"/>
      <c r="G12" s="364"/>
      <c r="H12" s="364"/>
      <c r="I12" s="364"/>
      <c r="J12" s="364"/>
      <c r="K12" s="360"/>
    </row>
    <row r="13" spans="1:11" s="361" customFormat="1">
      <c r="A13" s="367" t="s">
        <v>903</v>
      </c>
      <c r="B13" s="362">
        <f>'Sources and Uses Budget'!C13</f>
        <v>40146</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566399</v>
      </c>
      <c r="C29" s="363"/>
      <c r="D29" s="363"/>
      <c r="E29" s="362">
        <f>'Sources and Uses Budget'!S29</f>
        <v>566399</v>
      </c>
      <c r="F29" s="363"/>
      <c r="G29" s="363"/>
      <c r="H29" s="362">
        <f>'Sources and Uses Budget'!T29</f>
        <v>0</v>
      </c>
      <c r="I29" s="363"/>
      <c r="J29" s="363"/>
      <c r="K29" s="360"/>
    </row>
    <row r="30" spans="1:11" s="361" customFormat="1">
      <c r="A30" s="145" t="s">
        <v>600</v>
      </c>
      <c r="B30" s="362">
        <f ca="1">'Sources and Uses Budget'!C30</f>
        <v>46302689</v>
      </c>
      <c r="C30" s="363"/>
      <c r="D30" s="363"/>
      <c r="E30" s="362">
        <f ca="1">'Sources and Uses Budget'!S30</f>
        <v>46302689</v>
      </c>
      <c r="F30" s="363"/>
      <c r="G30" s="363"/>
      <c r="H30" s="362">
        <f>'Sources and Uses Budget'!T30</f>
        <v>0</v>
      </c>
      <c r="I30" s="363"/>
      <c r="J30" s="363"/>
      <c r="K30" s="360"/>
    </row>
    <row r="31" spans="1:11" s="361" customFormat="1">
      <c r="A31" s="145" t="s">
        <v>601</v>
      </c>
      <c r="B31" s="362">
        <f>'Sources and Uses Budget'!C31</f>
        <v>2475259</v>
      </c>
      <c r="C31" s="363"/>
      <c r="D31" s="363"/>
      <c r="E31" s="362">
        <f>'Sources and Uses Budget'!S31</f>
        <v>2475259</v>
      </c>
      <c r="F31" s="363"/>
      <c r="G31" s="363"/>
      <c r="H31" s="362">
        <f>'Sources and Uses Budget'!T31</f>
        <v>0</v>
      </c>
      <c r="I31" s="363"/>
      <c r="J31" s="363"/>
      <c r="K31" s="360"/>
    </row>
    <row r="32" spans="1:11" s="361" customFormat="1">
      <c r="A32" s="145" t="s">
        <v>137</v>
      </c>
      <c r="B32" s="362">
        <f>'Sources and Uses Budget'!C32</f>
        <v>1189466</v>
      </c>
      <c r="C32" s="363"/>
      <c r="D32" s="363"/>
      <c r="E32" s="362">
        <f>'Sources and Uses Budget'!S32</f>
        <v>1189466</v>
      </c>
      <c r="F32" s="363"/>
      <c r="G32" s="363"/>
      <c r="H32" s="362">
        <f>'Sources and Uses Budget'!T32</f>
        <v>0</v>
      </c>
      <c r="I32" s="363"/>
      <c r="J32" s="363"/>
      <c r="K32" s="360"/>
    </row>
    <row r="33" spans="1:11" s="361" customFormat="1">
      <c r="A33" s="145" t="s">
        <v>138</v>
      </c>
      <c r="B33" s="362">
        <f>'Sources and Uses Budget'!C33</f>
        <v>1189467</v>
      </c>
      <c r="C33" s="363"/>
      <c r="D33" s="363"/>
      <c r="E33" s="362">
        <f>'Sources and Uses Budget'!S33</f>
        <v>1189467</v>
      </c>
      <c r="F33" s="363"/>
      <c r="G33" s="363"/>
      <c r="H33" s="362">
        <f>'Sources and Uses Budget'!T33</f>
        <v>0</v>
      </c>
      <c r="I33" s="363"/>
      <c r="J33" s="363"/>
      <c r="K33" s="360"/>
    </row>
    <row r="34" spans="1:11" s="361" customFormat="1">
      <c r="A34" s="145" t="s">
        <v>139</v>
      </c>
      <c r="B34" s="362">
        <f ca="1">'Sources and Uses Budget'!C34</f>
        <v>9373818</v>
      </c>
      <c r="C34" s="363"/>
      <c r="D34" s="363"/>
      <c r="E34" s="362">
        <f ca="1">'Sources and Uses Budget'!S34</f>
        <v>9373818</v>
      </c>
      <c r="F34" s="363"/>
      <c r="G34" s="363"/>
      <c r="H34" s="362">
        <f>'Sources and Uses Budget'!T34</f>
        <v>0</v>
      </c>
      <c r="I34" s="363"/>
      <c r="J34" s="363"/>
      <c r="K34" s="360"/>
    </row>
    <row r="35" spans="1:11" s="361" customFormat="1">
      <c r="A35" s="145" t="s">
        <v>140</v>
      </c>
      <c r="B35" s="362">
        <f>'Sources and Uses Budget'!C35</f>
        <v>1208466</v>
      </c>
      <c r="C35" s="363"/>
      <c r="D35" s="363"/>
      <c r="E35" s="362">
        <f>'Sources and Uses Budget'!S35</f>
        <v>1208466</v>
      </c>
      <c r="F35" s="363"/>
      <c r="G35" s="363"/>
      <c r="H35" s="362">
        <f>'Sources and Uses Budget'!T35</f>
        <v>0</v>
      </c>
      <c r="I35" s="363"/>
      <c r="J35" s="363"/>
      <c r="K35" s="360"/>
    </row>
    <row r="36" spans="1:11" s="361" customFormat="1">
      <c r="A36" s="509" t="s">
        <v>1641</v>
      </c>
      <c r="B36" s="362">
        <f>'Sources and Uses Budget'!C36</f>
        <v>147564</v>
      </c>
      <c r="C36" s="363"/>
      <c r="D36" s="363"/>
      <c r="E36" s="362">
        <f>'Sources and Uses Budget'!S36</f>
        <v>147564</v>
      </c>
      <c r="F36" s="363"/>
      <c r="G36" s="363"/>
      <c r="H36" s="362">
        <f>'Sources and Uses Budget'!T36</f>
        <v>0</v>
      </c>
      <c r="I36" s="363"/>
      <c r="J36" s="363"/>
      <c r="K36" s="360"/>
    </row>
    <row r="37" spans="1:11" s="361" customFormat="1">
      <c r="A37" s="365" t="str">
        <f>'Sources and Uses Budget'!$A37</f>
        <v>PV System</v>
      </c>
      <c r="B37" s="362">
        <f>'Sources and Uses Budget'!C37</f>
        <v>497142</v>
      </c>
      <c r="C37" s="363"/>
      <c r="D37" s="363"/>
      <c r="E37" s="362">
        <f>'Sources and Uses Budget'!S37</f>
        <v>497142</v>
      </c>
      <c r="F37" s="363"/>
      <c r="G37" s="363"/>
      <c r="H37" s="362">
        <f>'Sources and Uses Budget'!T37</f>
        <v>0</v>
      </c>
      <c r="I37" s="363"/>
      <c r="J37" s="363"/>
      <c r="K37" s="360"/>
    </row>
    <row r="38" spans="1:11" s="361" customFormat="1">
      <c r="A38" s="366" t="s">
        <v>143</v>
      </c>
      <c r="B38" s="362">
        <f ca="1">'Sources and Uses Budget'!C38</f>
        <v>62950270</v>
      </c>
      <c r="C38" s="362">
        <f>SUM(C29:C37)</f>
        <v>0</v>
      </c>
      <c r="D38" s="362">
        <f>SUM(D29:D37)</f>
        <v>0</v>
      </c>
      <c r="E38" s="362">
        <f ca="1">'Sources and Uses Budget'!S38</f>
        <v>62950270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2528115</v>
      </c>
      <c r="C40" s="363"/>
      <c r="D40" s="363"/>
      <c r="E40" s="362">
        <f>'Sources and Uses Budget'!S40</f>
        <v>2528115</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2528115</v>
      </c>
      <c r="C42" s="362">
        <f>SUM(C39:C41)</f>
        <v>0</v>
      </c>
      <c r="D42" s="362">
        <f>SUM(D39:D41)</f>
        <v>0</v>
      </c>
      <c r="E42" s="362">
        <f>'Sources and Uses Budget'!S42</f>
        <v>2528115</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790476</v>
      </c>
      <c r="C43" s="363"/>
      <c r="D43" s="363"/>
      <c r="E43" s="362">
        <f>'Sources and Uses Budget'!S43</f>
        <v>790476</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6238275</v>
      </c>
      <c r="C45" s="363"/>
      <c r="D45" s="363"/>
      <c r="E45" s="362">
        <f>'Sources and Uses Budget'!S45</f>
        <v>3366863</v>
      </c>
      <c r="F45" s="363"/>
      <c r="G45" s="363"/>
      <c r="H45" s="362">
        <f>'Sources and Uses Budget'!T45</f>
        <v>0</v>
      </c>
      <c r="I45" s="363"/>
      <c r="J45" s="363"/>
      <c r="K45" s="360"/>
    </row>
    <row r="46" spans="1:11" s="361" customFormat="1">
      <c r="A46" s="365" t="s">
        <v>151</v>
      </c>
      <c r="B46" s="362">
        <f>'Sources and Uses Budget'!C46</f>
        <v>576722</v>
      </c>
      <c r="C46" s="363"/>
      <c r="D46" s="363"/>
      <c r="E46" s="362">
        <f>'Sources and Uses Budget'!S46</f>
        <v>30216</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193944</v>
      </c>
      <c r="C49" s="363"/>
      <c r="D49" s="363"/>
      <c r="E49" s="362">
        <f>'Sources and Uses Budget'!S49</f>
        <v>10023</v>
      </c>
      <c r="F49" s="363"/>
      <c r="G49" s="363"/>
      <c r="H49" s="362">
        <f>'Sources and Uses Budget'!T49</f>
        <v>0</v>
      </c>
      <c r="I49" s="363"/>
      <c r="J49" s="363"/>
      <c r="K49" s="360"/>
    </row>
    <row r="50" spans="1:11" s="361" customFormat="1">
      <c r="A50" s="365" t="s">
        <v>156</v>
      </c>
      <c r="B50" s="362">
        <f>'Sources and Uses Budget'!C50</f>
        <v>99330</v>
      </c>
      <c r="C50" s="363"/>
      <c r="D50" s="363"/>
      <c r="E50" s="362">
        <f>'Sources and Uses Budget'!S50</f>
        <v>99330</v>
      </c>
      <c r="F50" s="363"/>
      <c r="G50" s="363"/>
      <c r="H50" s="362">
        <f>'Sources and Uses Budget'!T50</f>
        <v>0</v>
      </c>
      <c r="I50" s="363"/>
      <c r="J50" s="363"/>
      <c r="K50" s="360"/>
    </row>
    <row r="51" spans="1:11" s="361" customFormat="1">
      <c r="A51" s="365" t="s">
        <v>154</v>
      </c>
      <c r="B51" s="362">
        <f>'Sources and Uses Budget'!C51</f>
        <v>366500</v>
      </c>
      <c r="C51" s="363"/>
      <c r="D51" s="363"/>
      <c r="E51" s="362">
        <f>'Sources and Uses Budget'!S51</f>
        <v>366500</v>
      </c>
      <c r="F51" s="363"/>
      <c r="G51" s="363"/>
      <c r="H51" s="362">
        <f>'Sources and Uses Budget'!T51</f>
        <v>0</v>
      </c>
      <c r="I51" s="363"/>
      <c r="J51" s="363"/>
      <c r="K51" s="360"/>
    </row>
    <row r="52" spans="1:11" s="361" customFormat="1">
      <c r="A52" s="365" t="s">
        <v>155</v>
      </c>
      <c r="B52" s="362">
        <f>'Sources and Uses Budget'!C52</f>
        <v>1396586</v>
      </c>
      <c r="C52" s="363"/>
      <c r="D52" s="363"/>
      <c r="E52" s="362">
        <f>'Sources and Uses Budget'!S52</f>
        <v>1396586</v>
      </c>
      <c r="F52" s="363"/>
      <c r="G52" s="363"/>
      <c r="H52" s="362">
        <f>'Sources and Uses Budget'!T52</f>
        <v>0</v>
      </c>
      <c r="I52" s="363"/>
      <c r="J52" s="363"/>
      <c r="K52" s="360"/>
    </row>
    <row r="53" spans="1:11" s="361" customFormat="1">
      <c r="A53" s="365" t="str">
        <f>'Sources and Uses Budget'!$A53</f>
        <v>Predevelopment Loan Costs</v>
      </c>
      <c r="B53" s="362">
        <f>'Sources and Uses Budget'!C53</f>
        <v>147959</v>
      </c>
      <c r="C53" s="363"/>
      <c r="D53" s="363"/>
      <c r="E53" s="362">
        <f>'Sources and Uses Budget'!S53</f>
        <v>147959</v>
      </c>
      <c r="F53" s="363"/>
      <c r="G53" s="363"/>
      <c r="H53" s="362">
        <f>'Sources and Uses Budget'!T53</f>
        <v>0</v>
      </c>
      <c r="I53" s="363"/>
      <c r="J53" s="363"/>
      <c r="K53" s="360"/>
    </row>
    <row r="54" spans="1:11" s="370" customFormat="1">
      <c r="A54" s="366" t="s">
        <v>157</v>
      </c>
      <c r="B54" s="362">
        <f>'Sources and Uses Budget'!C54</f>
        <v>9019316</v>
      </c>
      <c r="C54" s="368">
        <f>SUM(C45:C53)</f>
        <v>0</v>
      </c>
      <c r="D54" s="368">
        <f>SUM(D45:D53)</f>
        <v>0</v>
      </c>
      <c r="E54" s="362">
        <f>'Sources and Uses Budget'!S54</f>
        <v>5417477</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41030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66030</v>
      </c>
      <c r="C62" s="362">
        <f>SUM(C56:C61)</f>
        <v>0</v>
      </c>
      <c r="D62" s="362">
        <f>SUM(D56:D61)</f>
        <v>0</v>
      </c>
      <c r="E62" s="364"/>
      <c r="F62" s="364"/>
      <c r="G62" s="364"/>
      <c r="H62" s="364"/>
      <c r="I62" s="364"/>
      <c r="J62" s="364"/>
      <c r="K62" s="360"/>
    </row>
    <row r="63" spans="1:11" s="361" customFormat="1">
      <c r="A63" s="371" t="s">
        <v>302</v>
      </c>
      <c r="B63" s="362">
        <f ca="1">'Sources and Uses Budget'!C63</f>
        <v>82904305</v>
      </c>
      <c r="C63" s="362">
        <f>SUM(C8+C11+C13+C14+C15+C26+C27+C38+C42+C43+C54+C62)</f>
        <v>0</v>
      </c>
      <c r="D63" s="362">
        <f>SUM(D8+D11+D13+D14+D15+D26+D27+D38+D42+D43+D54+D62)</f>
        <v>0</v>
      </c>
      <c r="E63" s="362">
        <f ca="1">'Sources and Uses Budget'!S63</f>
        <v>72648916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118367</v>
      </c>
      <c r="C65" s="363"/>
      <c r="D65" s="363"/>
      <c r="E65" s="362">
        <f>'Sources and Uses Budget'!S65</f>
        <v>6202</v>
      </c>
      <c r="F65" s="363"/>
      <c r="G65" s="363"/>
      <c r="H65" s="362">
        <f>'Sources and Uses Budget'!T65</f>
        <v>0</v>
      </c>
      <c r="I65" s="363"/>
      <c r="J65" s="363"/>
      <c r="K65" s="360"/>
    </row>
    <row r="66" spans="1:11" s="361" customFormat="1" ht="23">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Owner Legal</v>
      </c>
      <c r="B69" s="362">
        <f>'Sources and Uses Budget'!C69</f>
        <v>83980</v>
      </c>
      <c r="C69" s="363"/>
      <c r="D69" s="363"/>
      <c r="E69" s="362">
        <f>'Sources and Uses Budget'!S69</f>
        <v>73980</v>
      </c>
      <c r="F69" s="363"/>
      <c r="G69" s="363"/>
      <c r="H69" s="362">
        <f>'Sources and Uses Budget'!T69</f>
        <v>0</v>
      </c>
      <c r="I69" s="363"/>
      <c r="J69" s="363"/>
      <c r="K69" s="360"/>
    </row>
    <row r="70" spans="1:11" s="361" customFormat="1">
      <c r="A70" s="366" t="s">
        <v>602</v>
      </c>
      <c r="B70" s="362">
        <f>'Sources and Uses Budget'!C70</f>
        <v>202347</v>
      </c>
      <c r="C70" s="362">
        <f>SUM(C64:C69)</f>
        <v>0</v>
      </c>
      <c r="D70" s="362">
        <f>SUM(D64:D69)</f>
        <v>0</v>
      </c>
      <c r="E70" s="362">
        <f>'Sources and Uses Budget'!S70</f>
        <v>80182</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498765</v>
      </c>
      <c r="C75" s="363"/>
      <c r="D75" s="363"/>
      <c r="E75" s="364"/>
      <c r="F75" s="364"/>
      <c r="G75" s="364"/>
      <c r="H75" s="364"/>
      <c r="I75" s="364"/>
      <c r="J75" s="364"/>
      <c r="K75" s="360"/>
    </row>
    <row r="76" spans="1:11" s="361" customFormat="1">
      <c r="A76" s="365" t="str">
        <f>'Sources and Uses Budget'!$A76</f>
        <v>Security Reserve</v>
      </c>
      <c r="B76" s="362">
        <f>'Sources and Uses Budget'!C76</f>
        <v>200000</v>
      </c>
      <c r="C76" s="363"/>
      <c r="D76" s="363"/>
      <c r="E76" s="364"/>
      <c r="F76" s="364"/>
      <c r="G76" s="364"/>
      <c r="H76" s="364"/>
      <c r="I76" s="364"/>
      <c r="J76" s="364"/>
      <c r="K76" s="360"/>
    </row>
    <row r="77" spans="1:11" s="361" customFormat="1">
      <c r="A77" s="366" t="s">
        <v>607</v>
      </c>
      <c r="B77" s="362">
        <f>'Sources and Uses Budget'!C77</f>
        <v>698765</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3825915</v>
      </c>
      <c r="C79" s="363"/>
      <c r="D79" s="363"/>
      <c r="E79" s="362">
        <f>'Sources and Uses Budget'!S79</f>
        <v>3825915</v>
      </c>
      <c r="F79" s="363"/>
      <c r="G79" s="363"/>
      <c r="H79" s="362">
        <f>'Sources and Uses Budget'!T79</f>
        <v>0</v>
      </c>
      <c r="I79" s="363"/>
      <c r="J79" s="363"/>
      <c r="K79" s="360"/>
    </row>
    <row r="80" spans="1:11" s="361" customFormat="1">
      <c r="A80" s="365" t="s">
        <v>58</v>
      </c>
      <c r="B80" s="362">
        <f>'Sources and Uses Budget'!C80</f>
        <v>493197</v>
      </c>
      <c r="C80" s="363"/>
      <c r="D80" s="363"/>
      <c r="E80" s="362">
        <f>'Sources and Uses Budget'!S80</f>
        <v>493197</v>
      </c>
      <c r="F80" s="363"/>
      <c r="G80" s="363"/>
      <c r="H80" s="362">
        <f>'Sources and Uses Budget'!T80</f>
        <v>0</v>
      </c>
      <c r="I80" s="363"/>
      <c r="J80" s="363"/>
      <c r="K80" s="360"/>
    </row>
    <row r="81" spans="1:11" s="361" customFormat="1">
      <c r="A81" s="366" t="s">
        <v>1210</v>
      </c>
      <c r="B81" s="362">
        <f>'Sources and Uses Budget'!C81</f>
        <v>4319112</v>
      </c>
      <c r="C81" s="362">
        <f>SUM(C79:C80)</f>
        <v>0</v>
      </c>
      <c r="D81" s="362">
        <f>SUM(D79:D80)</f>
        <v>0</v>
      </c>
      <c r="E81" s="362">
        <f>'Sources and Uses Budget'!S81</f>
        <v>4319112</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134609</v>
      </c>
      <c r="C83" s="363"/>
      <c r="D83" s="363"/>
      <c r="E83" s="364"/>
      <c r="F83" s="364"/>
      <c r="G83" s="364"/>
      <c r="H83" s="364"/>
      <c r="I83" s="364"/>
      <c r="J83" s="364"/>
      <c r="K83" s="360"/>
    </row>
    <row r="84" spans="1:11" s="361" customFormat="1">
      <c r="A84" s="145" t="s">
        <v>768</v>
      </c>
      <c r="B84" s="362">
        <f>'Sources and Uses Budget'!C84</f>
        <v>740938</v>
      </c>
      <c r="C84" s="363"/>
      <c r="D84" s="363"/>
      <c r="E84" s="362">
        <f>'Sources and Uses Budget'!S84</f>
        <v>740938</v>
      </c>
      <c r="F84" s="363"/>
      <c r="G84" s="363"/>
      <c r="H84" s="362">
        <f>'Sources and Uses Budget'!T84</f>
        <v>0</v>
      </c>
      <c r="I84" s="363"/>
      <c r="J84" s="363"/>
      <c r="K84" s="360"/>
    </row>
    <row r="85" spans="1:11" s="361" customFormat="1">
      <c r="A85" s="145" t="s">
        <v>769</v>
      </c>
      <c r="B85" s="362">
        <f>'Sources and Uses Budget'!C85</f>
        <v>4516457</v>
      </c>
      <c r="C85" s="363"/>
      <c r="D85" s="363"/>
      <c r="E85" s="362">
        <f>'Sources and Uses Budget'!S85</f>
        <v>4516457</v>
      </c>
      <c r="F85" s="363"/>
      <c r="G85" s="363"/>
      <c r="H85" s="362">
        <f>'Sources and Uses Budget'!T85</f>
        <v>0</v>
      </c>
      <c r="I85" s="363"/>
      <c r="J85" s="363"/>
      <c r="K85" s="360"/>
    </row>
    <row r="86" spans="1:11" s="361" customFormat="1">
      <c r="A86" s="145" t="s">
        <v>770</v>
      </c>
      <c r="B86" s="362">
        <f>'Sources and Uses Budget'!C86</f>
        <v>1294709</v>
      </c>
      <c r="C86" s="363"/>
      <c r="D86" s="363"/>
      <c r="E86" s="362">
        <f>'Sources and Uses Budget'!S86</f>
        <v>1294709</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205500</v>
      </c>
      <c r="C88" s="363"/>
      <c r="D88" s="363"/>
      <c r="E88" s="364"/>
      <c r="F88" s="364"/>
      <c r="G88" s="364"/>
      <c r="H88" s="364"/>
      <c r="I88" s="364"/>
      <c r="J88" s="364"/>
      <c r="K88" s="360"/>
    </row>
    <row r="89" spans="1:11" s="361" customFormat="1">
      <c r="A89" s="145" t="s">
        <v>773</v>
      </c>
      <c r="B89" s="362">
        <f>'Sources and Uses Budget'!C89</f>
        <v>120000</v>
      </c>
      <c r="C89" s="363"/>
      <c r="D89" s="363"/>
      <c r="E89" s="362">
        <f>'Sources and Uses Budget'!S89</f>
        <v>120000</v>
      </c>
      <c r="F89" s="363"/>
      <c r="G89" s="363"/>
      <c r="H89" s="362">
        <f>'Sources and Uses Budget'!T89</f>
        <v>0</v>
      </c>
      <c r="I89" s="363"/>
      <c r="J89" s="363"/>
      <c r="K89" s="360"/>
    </row>
    <row r="90" spans="1:11" s="361" customFormat="1">
      <c r="A90" s="145" t="s">
        <v>774</v>
      </c>
      <c r="B90" s="362">
        <f>'Sources and Uses Budget'!C90</f>
        <v>12600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4468</v>
      </c>
      <c r="C92" s="363"/>
      <c r="D92" s="363"/>
      <c r="E92" s="362">
        <f>'Sources and Uses Budget'!S92</f>
        <v>4468</v>
      </c>
      <c r="F92" s="363"/>
      <c r="G92" s="363"/>
      <c r="H92" s="362">
        <f>'Sources and Uses Budget'!T92</f>
        <v>0</v>
      </c>
      <c r="I92" s="363"/>
      <c r="J92" s="363"/>
      <c r="K92" s="360"/>
    </row>
    <row r="93" spans="1:11" s="361" customFormat="1">
      <c r="A93" s="365" t="str">
        <f>'Sources and Uses Budget'!$A93</f>
        <v>Prevailing Wage Monitoring</v>
      </c>
      <c r="B93" s="362">
        <f>'Sources and Uses Budget'!C93</f>
        <v>54252</v>
      </c>
      <c r="C93" s="363"/>
      <c r="D93" s="363"/>
      <c r="E93" s="362">
        <f>'Sources and Uses Budget'!S93</f>
        <v>54252</v>
      </c>
      <c r="F93" s="363"/>
      <c r="G93" s="363"/>
      <c r="H93" s="362">
        <f>'Sources and Uses Budget'!T93</f>
        <v>0</v>
      </c>
      <c r="I93" s="363"/>
      <c r="J93" s="363"/>
      <c r="K93" s="360"/>
    </row>
    <row r="94" spans="1:11" s="361" customFormat="1">
      <c r="A94" s="365" t="str">
        <f>'Sources and Uses Budget'!$A94</f>
        <v>Security during Construction</v>
      </c>
      <c r="B94" s="362">
        <f>'Sources and Uses Budget'!C94</f>
        <v>394557</v>
      </c>
      <c r="C94" s="363"/>
      <c r="D94" s="363"/>
      <c r="E94" s="362">
        <f>'Sources and Uses Budget'!S94</f>
        <v>394557</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7478090</v>
      </c>
      <c r="C96" s="362">
        <f>SUM(C83:C95)</f>
        <v>0</v>
      </c>
      <c r="D96" s="362">
        <f>SUM(D83:D95)</f>
        <v>0</v>
      </c>
      <c r="E96" s="362">
        <f>'Sources and Uses Budget'!S96</f>
        <v>7125381</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 ca="1">'Sources and Uses Budget'!C97</f>
        <v>95602619</v>
      </c>
      <c r="C97" s="362">
        <f>SUM(C63+C70+C77+C81+C96)</f>
        <v>0</v>
      </c>
      <c r="D97" s="362">
        <f>SUM(D63+D70+D77+D81+D96)</f>
        <v>0</v>
      </c>
      <c r="E97" s="362">
        <f ca="1">'Sources and Uses Budget'!S97</f>
        <v>84173591</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3452378</v>
      </c>
      <c r="C99" s="363"/>
      <c r="D99" s="363"/>
      <c r="E99" s="362">
        <f>'Sources and Uses Budget'!S99</f>
        <v>3452378</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3452378</v>
      </c>
      <c r="C104" s="362">
        <f>SUM(C99:C103)</f>
        <v>0</v>
      </c>
      <c r="D104" s="362">
        <f>SUM(D99:D103)</f>
        <v>0</v>
      </c>
      <c r="E104" s="362">
        <f>'Sources and Uses Budget'!S104</f>
        <v>3452378</v>
      </c>
      <c r="F104" s="368">
        <f>SUM(F99:F103)</f>
        <v>0</v>
      </c>
      <c r="G104" s="368">
        <f>SUM(G99:G103)</f>
        <v>0</v>
      </c>
      <c r="H104" s="362">
        <f>'Sources and Uses Budget'!T104</f>
        <v>0</v>
      </c>
      <c r="I104" s="368">
        <f>SUM(I99:I103)</f>
        <v>0</v>
      </c>
      <c r="J104" s="368">
        <f>SUM(J99:J103)</f>
        <v>0</v>
      </c>
      <c r="K104" s="360"/>
    </row>
    <row r="105" spans="1:11" s="361" customFormat="1">
      <c r="A105" s="366" t="s">
        <v>1031</v>
      </c>
      <c r="B105" s="362">
        <f ca="1">'Sources and Uses Budget'!C105</f>
        <v>99054997</v>
      </c>
      <c r="C105" s="368">
        <f>SUM(C97+C104)</f>
        <v>0</v>
      </c>
      <c r="D105" s="368">
        <f>SUM(D97+D104)</f>
        <v>0</v>
      </c>
      <c r="E105" s="362">
        <f ca="1">'Sources and Uses Budget'!S105</f>
        <v>87625969</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 ca="1">'Sources and Uses Budget'!S107</f>
        <v>87625969</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9"/>
      <c r="E124" s="1315"/>
      <c r="F124" s="1315"/>
      <c r="G124" s="1315"/>
      <c r="H124" s="1315"/>
      <c r="I124" s="1315"/>
      <c r="J124" s="377"/>
      <c r="K124" s="360"/>
    </row>
    <row r="125" spans="1:11" s="361" customFormat="1" ht="12.5">
      <c r="A125" s="386"/>
      <c r="B125" s="385"/>
      <c r="C125" s="386"/>
      <c r="D125" s="1315"/>
      <c r="E125" s="1315"/>
      <c r="F125" s="1315"/>
      <c r="G125" s="1315"/>
      <c r="H125" s="1315"/>
      <c r="I125" s="1315"/>
      <c r="J125" s="377"/>
      <c r="K125" s="360"/>
    </row>
    <row r="126" spans="1:11" s="361" customFormat="1" ht="12.5">
      <c r="A126" s="386"/>
      <c r="B126" s="385"/>
      <c r="C126" s="386"/>
      <c r="D126" s="1315"/>
      <c r="E126" s="1315"/>
      <c r="F126" s="1315"/>
      <c r="G126" s="1315"/>
      <c r="H126" s="1315"/>
      <c r="I126" s="1315"/>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2" t="s">
        <v>2461</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2460</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4" t="str">
        <f>IF(Application!H18="","",Application!H18)</f>
        <v xml:space="preserve">3900 Thornton </v>
      </c>
      <c r="M4" s="2315"/>
      <c r="N4" s="2315"/>
      <c r="O4" s="2315"/>
      <c r="P4" s="2315"/>
      <c r="Q4" s="2315"/>
      <c r="R4" s="2315"/>
      <c r="S4" s="2315"/>
      <c r="T4" s="2315"/>
      <c r="U4" s="2315"/>
      <c r="V4" s="2315"/>
      <c r="W4" s="2315"/>
      <c r="X4" s="2315"/>
      <c r="Y4" s="2315"/>
      <c r="Z4" s="2315"/>
      <c r="AA4" s="2315"/>
      <c r="AB4" s="2315"/>
      <c r="AC4" s="2316"/>
      <c r="AD4" s="1192"/>
      <c r="AE4" s="1192"/>
      <c r="AF4" s="2310" t="s">
        <v>2459</v>
      </c>
      <c r="AG4" s="2310"/>
      <c r="AH4" s="2310"/>
      <c r="AI4" s="2310"/>
      <c r="AJ4" s="2310"/>
      <c r="AK4" s="2310"/>
      <c r="AL4" s="2310"/>
      <c r="AM4" s="2310"/>
      <c r="AN4" s="2310"/>
      <c r="AO4" s="2310"/>
      <c r="AP4" s="2311"/>
      <c r="AQ4" s="2312"/>
      <c r="AR4" s="2312"/>
      <c r="AS4" s="2312"/>
      <c r="AT4" s="2312"/>
      <c r="AU4" s="231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0" t="s">
        <v>2458</v>
      </c>
      <c r="AG5" s="2310"/>
      <c r="AH5" s="2310"/>
      <c r="AI5" s="2310"/>
      <c r="AJ5" s="2310"/>
      <c r="AK5" s="2310"/>
      <c r="AL5" s="2310"/>
      <c r="AM5" s="2310"/>
      <c r="AN5" s="2310"/>
      <c r="AO5" s="2310"/>
      <c r="AP5" s="2311"/>
      <c r="AQ5" s="2312"/>
      <c r="AR5" s="2312"/>
      <c r="AS5" s="2312"/>
      <c r="AT5" s="2312"/>
      <c r="AU5" s="2312"/>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4" t="str">
        <f>IF(Application!H16="","",Application!H16)</f>
        <v>Resources for Community Development</v>
      </c>
      <c r="M6" s="2315"/>
      <c r="N6" s="2315"/>
      <c r="O6" s="2315"/>
      <c r="P6" s="2315"/>
      <c r="Q6" s="2315"/>
      <c r="R6" s="2315"/>
      <c r="S6" s="2315"/>
      <c r="T6" s="2315"/>
      <c r="U6" s="2315"/>
      <c r="V6" s="2315"/>
      <c r="W6" s="2315"/>
      <c r="X6" s="2315"/>
      <c r="Y6" s="2315"/>
      <c r="Z6" s="2315"/>
      <c r="AA6" s="2315"/>
      <c r="AB6" s="2315"/>
      <c r="AC6" s="2316"/>
      <c r="AD6" s="1192"/>
      <c r="AE6" s="1192"/>
      <c r="AF6" s="2317" t="s">
        <v>2456</v>
      </c>
      <c r="AG6" s="2317"/>
      <c r="AH6" s="2317"/>
      <c r="AI6" s="2317"/>
      <c r="AJ6" s="2317"/>
      <c r="AK6" s="2317"/>
      <c r="AL6" s="2317"/>
      <c r="AM6" s="2317"/>
      <c r="AN6" s="2317"/>
      <c r="AO6" s="2317"/>
      <c r="AP6" s="2318"/>
      <c r="AQ6" s="2318"/>
      <c r="AR6" s="2318"/>
      <c r="AS6" s="2318"/>
      <c r="AT6" s="2318"/>
      <c r="AU6" s="2318"/>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7" t="s">
        <v>2455</v>
      </c>
      <c r="AG7" s="2317"/>
      <c r="AH7" s="2317"/>
      <c r="AI7" s="2317"/>
      <c r="AJ7" s="2317"/>
      <c r="AK7" s="2317"/>
      <c r="AL7" s="2317"/>
      <c r="AM7" s="2317"/>
      <c r="AN7" s="2317"/>
      <c r="AO7" s="2317"/>
      <c r="AP7" s="2318"/>
      <c r="AQ7" s="2318"/>
      <c r="AR7" s="2318"/>
      <c r="AS7" s="2318"/>
      <c r="AT7" s="2318"/>
      <c r="AU7" s="2318"/>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9" t="str">
        <f>Application!T197</f>
        <v>No</v>
      </c>
      <c r="AC8" s="2320"/>
      <c r="AD8" s="2321"/>
      <c r="AE8" s="1192"/>
      <c r="AF8" s="2317" t="s">
        <v>2453</v>
      </c>
      <c r="AG8" s="2317"/>
      <c r="AH8" s="2317"/>
      <c r="AI8" s="2317"/>
      <c r="AJ8" s="2317"/>
      <c r="AK8" s="2317"/>
      <c r="AL8" s="2317"/>
      <c r="AM8" s="2317"/>
      <c r="AN8" s="2317"/>
      <c r="AO8" s="2317"/>
      <c r="AP8" s="2318" t="s">
        <v>2101</v>
      </c>
      <c r="AQ8" s="2318"/>
      <c r="AR8" s="2318"/>
      <c r="AS8" s="2318"/>
      <c r="AT8" s="2318"/>
      <c r="AU8" s="2318"/>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0" t="s">
        <v>2452</v>
      </c>
      <c r="AG9" s="2310"/>
      <c r="AH9" s="2310"/>
      <c r="AI9" s="2310"/>
      <c r="AJ9" s="2310"/>
      <c r="AK9" s="2310"/>
      <c r="AL9" s="2310"/>
      <c r="AM9" s="2310"/>
      <c r="AN9" s="2310"/>
      <c r="AO9" s="2310"/>
      <c r="AP9" s="2311"/>
      <c r="AQ9" s="2312"/>
      <c r="AR9" s="2312"/>
      <c r="AS9" s="2312"/>
      <c r="AT9" s="2312"/>
      <c r="AU9" s="2312"/>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3">
        <f>Application!AO627</f>
        <v>4103000</v>
      </c>
      <c r="O10" s="2313"/>
      <c r="P10" s="2313"/>
      <c r="Q10" s="2313"/>
      <c r="R10" s="2313"/>
      <c r="S10" s="2313"/>
      <c r="T10" s="2313"/>
      <c r="U10" s="1192"/>
      <c r="V10" s="1192"/>
      <c r="W10" s="1192"/>
      <c r="X10" s="1195"/>
      <c r="Y10" s="1195"/>
      <c r="Z10" s="1195"/>
      <c r="AA10" s="1195"/>
      <c r="AB10" s="1195"/>
      <c r="AC10" s="1195"/>
      <c r="AD10" s="1195"/>
      <c r="AE10" s="1195"/>
      <c r="AF10" s="2310" t="s">
        <v>2449</v>
      </c>
      <c r="AG10" s="2310"/>
      <c r="AH10" s="2310"/>
      <c r="AI10" s="2310"/>
      <c r="AJ10" s="2310"/>
      <c r="AK10" s="2310"/>
      <c r="AL10" s="2310"/>
      <c r="AM10" s="2310"/>
      <c r="AN10" s="2310"/>
      <c r="AO10" s="2310"/>
      <c r="AP10" s="2311"/>
      <c r="AQ10" s="2312"/>
      <c r="AR10" s="2312"/>
      <c r="AS10" s="2312"/>
      <c r="AT10" s="2312"/>
      <c r="AU10" s="2312"/>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3">
        <f>Application!AA933</f>
        <v>0</v>
      </c>
      <c r="O11" s="2313"/>
      <c r="P11" s="2313"/>
      <c r="Q11" s="2313"/>
      <c r="R11" s="2313"/>
      <c r="S11" s="2313"/>
      <c r="T11" s="2313"/>
      <c r="U11" s="1192"/>
      <c r="V11" s="1192"/>
      <c r="W11" s="1192"/>
      <c r="X11" s="1195"/>
      <c r="Y11" s="1195"/>
      <c r="Z11" s="1195"/>
      <c r="AA11" s="1195"/>
      <c r="AB11" s="1195"/>
      <c r="AC11" s="1195"/>
      <c r="AD11" s="1195"/>
      <c r="AE11" s="1195"/>
      <c r="AF11" s="2310" t="s">
        <v>2446</v>
      </c>
      <c r="AG11" s="2310"/>
      <c r="AH11" s="2310"/>
      <c r="AI11" s="2310"/>
      <c r="AJ11" s="2310"/>
      <c r="AK11" s="2310"/>
      <c r="AL11" s="2310"/>
      <c r="AM11" s="2310"/>
      <c r="AN11" s="2310"/>
      <c r="AO11" s="2310"/>
      <c r="AP11" s="2311"/>
      <c r="AQ11" s="2312"/>
      <c r="AR11" s="2312"/>
      <c r="AS11" s="2312"/>
      <c r="AT11" s="2312"/>
      <c r="AU11" s="2312"/>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01" t="s">
        <v>2444</v>
      </c>
      <c r="C13" s="2302"/>
      <c r="D13" s="2302"/>
      <c r="E13" s="2302"/>
      <c r="F13" s="2302"/>
      <c r="G13" s="2302"/>
      <c r="H13" s="2302"/>
      <c r="I13" s="2302"/>
      <c r="J13" s="2302"/>
      <c r="K13" s="2302"/>
      <c r="L13" s="2302"/>
      <c r="M13" s="2302"/>
      <c r="N13" s="2302"/>
      <c r="O13" s="2302"/>
      <c r="P13" s="2303"/>
      <c r="Q13" s="2304" t="s">
        <v>670</v>
      </c>
      <c r="R13" s="2305"/>
      <c r="S13" s="2305"/>
      <c r="T13" s="2306"/>
      <c r="U13" s="1195"/>
      <c r="V13" s="1192"/>
      <c r="W13" s="1192"/>
      <c r="X13" s="1192"/>
      <c r="Y13" s="1192"/>
      <c r="Z13" s="1192"/>
      <c r="AA13" s="2291" t="s">
        <v>2443</v>
      </c>
      <c r="AB13" s="2291"/>
      <c r="AC13" s="2291"/>
      <c r="AD13" s="2291"/>
      <c r="AE13" s="2291"/>
      <c r="AF13" s="2291"/>
      <c r="AG13" s="2291"/>
      <c r="AH13" s="2291"/>
      <c r="AI13" s="2291"/>
      <c r="AJ13" s="2291"/>
      <c r="AK13" s="2291"/>
      <c r="AL13" s="2291"/>
      <c r="AM13" s="2291"/>
      <c r="AN13" s="2291"/>
      <c r="AO13" s="2307">
        <f>Application!W473</f>
        <v>0</v>
      </c>
      <c r="AP13" s="2308"/>
      <c r="AQ13" s="2308"/>
      <c r="AR13" s="2308"/>
      <c r="AS13" s="2308"/>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9" t="s">
        <v>2441</v>
      </c>
      <c r="AB14" s="2309"/>
      <c r="AC14" s="2309"/>
      <c r="AD14" s="2309"/>
      <c r="AE14" s="2309"/>
      <c r="AF14" s="2309"/>
      <c r="AG14" s="2309"/>
      <c r="AH14" s="2309"/>
      <c r="AI14" s="2309"/>
      <c r="AJ14" s="2309"/>
      <c r="AK14" s="2309"/>
      <c r="AL14" s="2309"/>
      <c r="AM14" s="2309"/>
      <c r="AN14" s="2309"/>
      <c r="AO14" s="2292"/>
      <c r="AP14" s="2293"/>
      <c r="AQ14" s="2293"/>
      <c r="AR14" s="2293"/>
      <c r="AS14" s="2293"/>
      <c r="AT14" s="1195"/>
      <c r="AU14" s="1195"/>
      <c r="AV14" s="1195"/>
      <c r="AW14" s="1195"/>
      <c r="AX14" s="1195"/>
      <c r="AY14" s="1195"/>
      <c r="AZ14" s="1195"/>
      <c r="BA14" s="1195"/>
      <c r="BB14" s="1195"/>
      <c r="BC14" s="1195"/>
      <c r="BD14" s="1195"/>
      <c r="BE14" s="1196"/>
    </row>
    <row r="15" spans="1:65" ht="15" thickBot="1">
      <c r="A15" s="1192"/>
      <c r="B15" s="2286" t="s">
        <v>2440</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5"/>
      <c r="Y15" s="1192"/>
      <c r="Z15" s="1192"/>
      <c r="AA15" s="2291" t="s">
        <v>2439</v>
      </c>
      <c r="AB15" s="2291"/>
      <c r="AC15" s="2291"/>
      <c r="AD15" s="2291"/>
      <c r="AE15" s="2291"/>
      <c r="AF15" s="2291"/>
      <c r="AG15" s="2291"/>
      <c r="AH15" s="2291"/>
      <c r="AI15" s="2291"/>
      <c r="AJ15" s="2291"/>
      <c r="AK15" s="2291"/>
      <c r="AL15" s="2291"/>
      <c r="AM15" s="2291"/>
      <c r="AN15" s="2291"/>
      <c r="AO15" s="2292"/>
      <c r="AP15" s="2293"/>
      <c r="AQ15" s="2293"/>
      <c r="AR15" s="2293"/>
      <c r="AS15" s="229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6" t="s">
        <v>2438</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2"/>
      <c r="BA17" s="1192"/>
      <c r="BB17" s="1192"/>
      <c r="BC17" s="1192"/>
      <c r="BD17" s="1192"/>
      <c r="BE17" s="1196"/>
      <c r="BF17" s="1190"/>
    </row>
    <row r="18" spans="1:58" ht="15.75" customHeight="1">
      <c r="A18" s="1192"/>
      <c r="B18" s="2294" t="s">
        <v>2437</v>
      </c>
      <c r="C18" s="2295"/>
      <c r="D18" s="2295"/>
      <c r="E18" s="2295"/>
      <c r="F18" s="2295"/>
      <c r="G18" s="2295"/>
      <c r="H18" s="2295"/>
      <c r="I18" s="2296"/>
      <c r="J18" s="2297" t="s">
        <v>1587</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2436</v>
      </c>
      <c r="AU18" s="2298"/>
      <c r="AV18" s="2298"/>
      <c r="AW18" s="2298"/>
      <c r="AX18" s="2298"/>
      <c r="AY18" s="2300"/>
      <c r="AZ18" s="1192"/>
      <c r="BA18" s="1192"/>
      <c r="BB18" s="1192"/>
      <c r="BC18" s="1192"/>
      <c r="BD18" s="1192"/>
      <c r="BE18" s="1196"/>
    </row>
    <row r="19" spans="1:58" ht="14.5">
      <c r="A19" s="1192"/>
      <c r="B19" s="2280">
        <v>0.3</v>
      </c>
      <c r="C19" s="2281"/>
      <c r="D19" s="2281"/>
      <c r="E19" s="2281"/>
      <c r="F19" s="2281"/>
      <c r="G19" s="2281"/>
      <c r="H19" s="2281"/>
      <c r="I19" s="2282"/>
      <c r="J19" s="2283">
        <f t="shared" ref="J19:J24" si="0">SUM(P19:AS19)</f>
        <v>26</v>
      </c>
      <c r="K19" s="2284"/>
      <c r="L19" s="2284"/>
      <c r="M19" s="2284"/>
      <c r="N19" s="2284"/>
      <c r="O19" s="2285"/>
      <c r="P19" s="2283" cm="1">
        <f t="array" ref="P19">SUMPRODUCT((Application!$B$718:$B$752 = 'CalHFA Addendum'!P$18)*(Application!$AC$718:$AC$752 = 'CalHFA Addendum'!$B19),Application!$G$718:$G$752)</f>
        <v>13</v>
      </c>
      <c r="Q19" s="2284"/>
      <c r="R19" s="2284"/>
      <c r="S19" s="2284"/>
      <c r="T19" s="2284"/>
      <c r="U19" s="2285"/>
      <c r="V19" s="2283" cm="1">
        <f t="array" ref="V19">SUMPRODUCT((Application!$B$714:$B$738 = 'CalHFA Addendum'!V$18)*(Application!$AC$714:$AC$738 = 'CalHFA Addendum'!$B19),Application!$G$714:$G$738)</f>
        <v>8</v>
      </c>
      <c r="W19" s="2284"/>
      <c r="X19" s="2284"/>
      <c r="Y19" s="2284"/>
      <c r="Z19" s="2284"/>
      <c r="AA19" s="2285"/>
      <c r="AB19" s="2283" cm="1">
        <f t="array" ref="AB19">SUMPRODUCT((Application!$B$714:$B$738 = 'CalHFA Addendum'!AB$18)*(Application!$AC$714:$AC$738 = 'CalHFA Addendum'!$B19),Application!$G$714:$G$738)</f>
        <v>3</v>
      </c>
      <c r="AC19" s="2284"/>
      <c r="AD19" s="2284"/>
      <c r="AE19" s="2284"/>
      <c r="AF19" s="2284"/>
      <c r="AG19" s="2285"/>
      <c r="AH19" s="2283" cm="1">
        <f t="array" ref="AH19">SUMPRODUCT((Application!$B$714:$B$738 = 'CalHFA Addendum'!AH$18)*(Application!$AC$714:$AC$738 = 'CalHFA Addendum'!$B19),Application!$G$714:$G$738)</f>
        <v>2</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0.21848739495798319</v>
      </c>
      <c r="AU19" s="2269"/>
      <c r="AV19" s="2269"/>
      <c r="AW19" s="2269"/>
      <c r="AX19" s="2269"/>
      <c r="AY19" s="2270"/>
      <c r="AZ19" s="1197"/>
      <c r="BA19" s="1192"/>
      <c r="BB19" s="1192"/>
      <c r="BC19" s="1192"/>
      <c r="BD19" s="1192"/>
      <c r="BE19" s="1196"/>
    </row>
    <row r="20" spans="1:58" ht="15" customHeight="1">
      <c r="A20" s="1192"/>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2"/>
      <c r="BA20" s="1192"/>
      <c r="BB20" s="1192"/>
      <c r="BC20" s="1192"/>
      <c r="BD20" s="1192"/>
      <c r="BE20" s="1196"/>
    </row>
    <row r="21" spans="1:58" ht="14.5">
      <c r="A21" s="1192"/>
      <c r="B21" s="2280">
        <v>0.5</v>
      </c>
      <c r="C21" s="2281"/>
      <c r="D21" s="2281"/>
      <c r="E21" s="2281"/>
      <c r="F21" s="2281"/>
      <c r="G21" s="2281"/>
      <c r="H21" s="2281"/>
      <c r="I21" s="2282"/>
      <c r="J21" s="2283">
        <f t="shared" si="0"/>
        <v>59</v>
      </c>
      <c r="K21" s="2284"/>
      <c r="L21" s="2284"/>
      <c r="M21" s="2284"/>
      <c r="N21" s="2284"/>
      <c r="O21" s="2285"/>
      <c r="P21" s="2283" cm="1">
        <f t="array" ref="P21">SUMPRODUCT((Application!$B$714:$B$738 = 'CalHFA Addendum'!P$18)*(Application!$AC$714:$AC$738 = 'CalHFA Addendum'!$B21),Application!$G$714:$G$738)</f>
        <v>12</v>
      </c>
      <c r="Q21" s="2284"/>
      <c r="R21" s="2284"/>
      <c r="S21" s="2284"/>
      <c r="T21" s="2284"/>
      <c r="U21" s="2285"/>
      <c r="V21" s="2283" cm="1">
        <f t="array" ref="V21">SUMPRODUCT((Application!$B$714:$B$738 = 'CalHFA Addendum'!V$18)*(Application!$AC$714:$AC$738 = 'CalHFA Addendum'!$B21),Application!$G$714:$G$738)</f>
        <v>23</v>
      </c>
      <c r="W21" s="2284"/>
      <c r="X21" s="2284"/>
      <c r="Y21" s="2284"/>
      <c r="Z21" s="2284"/>
      <c r="AA21" s="2285"/>
      <c r="AB21" s="2283" cm="1">
        <f t="array" ref="AB21">SUMPRODUCT((Application!$B$714:$B$738 = 'CalHFA Addendum'!AB$18)*(Application!$AC$714:$AC$738 = 'CalHFA Addendum'!$B21),Application!$G$714:$G$738)</f>
        <v>13</v>
      </c>
      <c r="AC21" s="2284"/>
      <c r="AD21" s="2284"/>
      <c r="AE21" s="2284"/>
      <c r="AF21" s="2284"/>
      <c r="AG21" s="2285"/>
      <c r="AH21" s="2283" cm="1">
        <f t="array" ref="AH21">SUMPRODUCT((Application!$B$714:$B$738 = 'CalHFA Addendum'!AH$18)*(Application!$AC$714:$AC$738 = 'CalHFA Addendum'!$B21),Application!$G$714:$G$738)</f>
        <v>11</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0.49579831932773111</v>
      </c>
      <c r="AU21" s="2269"/>
      <c r="AV21" s="2269"/>
      <c r="AW21" s="2269"/>
      <c r="AX21" s="2269"/>
      <c r="AY21" s="2270"/>
      <c r="AZ21" s="1192"/>
      <c r="BA21" s="1192"/>
      <c r="BB21" s="1192"/>
      <c r="BC21" s="1192"/>
      <c r="BD21" s="1192"/>
      <c r="BE21" s="1196"/>
    </row>
    <row r="22" spans="1:58" ht="14.5">
      <c r="A22" s="1192"/>
      <c r="B22" s="2280">
        <v>0.6</v>
      </c>
      <c r="C22" s="2281"/>
      <c r="D22" s="2281"/>
      <c r="E22" s="2281"/>
      <c r="F22" s="2281"/>
      <c r="G22" s="2281"/>
      <c r="H22" s="2281"/>
      <c r="I22" s="2282"/>
      <c r="J22" s="2283">
        <f t="shared" si="0"/>
        <v>27</v>
      </c>
      <c r="K22" s="2284"/>
      <c r="L22" s="2284"/>
      <c r="M22" s="2284"/>
      <c r="N22" s="2284"/>
      <c r="O22" s="2285"/>
      <c r="P22" s="2283" cm="1">
        <f t="array" ref="P22">SUMPRODUCT((Application!$B$714:$B$738 = 'CalHFA Addendum'!P$18)*(Application!$AC$714:$AC$738 = 'CalHFA Addendum'!$B22),Application!$G$714:$G$738)</f>
        <v>3</v>
      </c>
      <c r="Q22" s="2284"/>
      <c r="R22" s="2284"/>
      <c r="S22" s="2284"/>
      <c r="T22" s="2284"/>
      <c r="U22" s="2285"/>
      <c r="V22" s="2283" cm="1">
        <f t="array" ref="V22">SUMPRODUCT((Application!$B$714:$B$738 = 'CalHFA Addendum'!V$18)*(Application!$AC$714:$AC$738 = 'CalHFA Addendum'!$B22),Application!$G$714:$G$738)</f>
        <v>11</v>
      </c>
      <c r="W22" s="2284"/>
      <c r="X22" s="2284"/>
      <c r="Y22" s="2284"/>
      <c r="Z22" s="2284"/>
      <c r="AA22" s="2285"/>
      <c r="AB22" s="2283" cm="1">
        <f t="array" ref="AB22">SUMPRODUCT((Application!$B$714:$B$738 = 'CalHFA Addendum'!AB$18)*(Application!$AC$714:$AC$738 = 'CalHFA Addendum'!$B22),Application!$G$714:$G$738)</f>
        <v>9</v>
      </c>
      <c r="AC22" s="2284"/>
      <c r="AD22" s="2284"/>
      <c r="AE22" s="2284"/>
      <c r="AF22" s="2284"/>
      <c r="AG22" s="2285"/>
      <c r="AH22" s="2283" cm="1">
        <f t="array" ref="AH22">SUMPRODUCT((Application!$B$714:$B$738 = 'CalHFA Addendum'!AH$18)*(Application!$AC$714:$AC$738 = 'CalHFA Addendum'!$B22),Application!$G$714:$G$738)</f>
        <v>4</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0.22689075630252101</v>
      </c>
      <c r="AU22" s="2269"/>
      <c r="AV22" s="2269"/>
      <c r="AW22" s="2269"/>
      <c r="AX22" s="2269"/>
      <c r="AY22" s="2270"/>
      <c r="AZ22" s="1192"/>
      <c r="BA22" s="1192"/>
      <c r="BB22" s="1192"/>
      <c r="BC22" s="1192"/>
      <c r="BD22" s="1192"/>
      <c r="BE22" s="1196"/>
    </row>
    <row r="23" spans="1:58" ht="14.5">
      <c r="A23" s="1192"/>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2"/>
      <c r="BA23" s="1192"/>
      <c r="BB23" s="1192"/>
      <c r="BC23" s="1192"/>
      <c r="BD23" s="1192"/>
      <c r="BE23" s="1196"/>
    </row>
    <row r="24" spans="1:58" ht="14.5">
      <c r="A24" s="1192"/>
      <c r="B24" s="2280">
        <v>0.8</v>
      </c>
      <c r="C24" s="2281"/>
      <c r="D24" s="2281"/>
      <c r="E24" s="2281"/>
      <c r="F24" s="2281"/>
      <c r="G24" s="2281"/>
      <c r="H24" s="2281"/>
      <c r="I24" s="2282"/>
      <c r="J24" s="2283">
        <f t="shared" si="0"/>
        <v>6</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1</v>
      </c>
      <c r="W24" s="2284"/>
      <c r="X24" s="2284"/>
      <c r="Y24" s="2284"/>
      <c r="Z24" s="2284"/>
      <c r="AA24" s="2285"/>
      <c r="AB24" s="2283" cm="1">
        <f t="array" ref="AB24">SUMPRODUCT((Application!$B$714:$B$738 = 'CalHFA Addendum'!AB$18)*(Application!$AC$714:$AC$738 = 'CalHFA Addendum'!$B24),Application!$G$714:$G$738)</f>
        <v>2</v>
      </c>
      <c r="AC24" s="2284"/>
      <c r="AD24" s="2284"/>
      <c r="AE24" s="2284"/>
      <c r="AF24" s="2284"/>
      <c r="AG24" s="2285"/>
      <c r="AH24" s="2283" cm="1">
        <f t="array" ref="AH24">SUMPRODUCT((Application!$B$714:$B$738 = 'CalHFA Addendum'!AH$18)*(Application!$AC$714:$AC$738 = 'CalHFA Addendum'!$B24),Application!$G$714:$G$738)</f>
        <v>3</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5.0420168067226892E-2</v>
      </c>
      <c r="AU24" s="2269"/>
      <c r="AV24" s="2269"/>
      <c r="AW24" s="2269"/>
      <c r="AX24" s="2269"/>
      <c r="AY24" s="2270"/>
      <c r="AZ24" s="1192"/>
      <c r="BA24" s="1192"/>
      <c r="BB24" s="1192"/>
      <c r="BC24" s="1192"/>
      <c r="BD24" s="1192"/>
      <c r="BE24" s="1196"/>
    </row>
    <row r="25" spans="1:58" ht="14.5">
      <c r="A25" s="1192"/>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2"/>
      <c r="BA25" s="1192"/>
      <c r="BB25" s="1192"/>
      <c r="BC25" s="1192"/>
      <c r="BD25" s="1192"/>
      <c r="BE25" s="1196"/>
    </row>
    <row r="26" spans="1:58" ht="14.5">
      <c r="A26" s="1192"/>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2"/>
      <c r="BA26" s="1192"/>
      <c r="BB26" s="1192"/>
      <c r="BC26" s="1192"/>
      <c r="BD26" s="1192"/>
      <c r="BE26" s="1196"/>
    </row>
    <row r="27" spans="1:58" ht="14.5">
      <c r="A27" s="1192"/>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2"/>
      <c r="BA27" s="1192"/>
      <c r="BB27" s="1192"/>
      <c r="BC27" s="1192"/>
      <c r="BD27" s="1192"/>
      <c r="BE27" s="1196"/>
    </row>
    <row r="28" spans="1:58" ht="15" thickBot="1">
      <c r="A28" s="1192"/>
      <c r="B28" s="2271" t="s">
        <v>2435</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8.4033613445378148E-3</v>
      </c>
      <c r="AU28" s="2278"/>
      <c r="AV28" s="2278"/>
      <c r="AW28" s="2278"/>
      <c r="AX28" s="2278"/>
      <c r="AY28" s="2279"/>
      <c r="AZ28" s="1192"/>
      <c r="BA28" s="1192"/>
      <c r="BB28" s="1192"/>
      <c r="BC28" s="1192"/>
      <c r="BD28" s="1192"/>
      <c r="BE28" s="1196"/>
    </row>
    <row r="29" spans="1:58" ht="15" thickBot="1">
      <c r="A29" s="1192"/>
      <c r="B29" s="2254" t="s">
        <v>1587</v>
      </c>
      <c r="C29" s="2227"/>
      <c r="D29" s="2227"/>
      <c r="E29" s="2227"/>
      <c r="F29" s="2227"/>
      <c r="G29" s="2227"/>
      <c r="H29" s="2227"/>
      <c r="I29" s="2228"/>
      <c r="J29" s="2226">
        <f>SUM(J19:O28)</f>
        <v>119</v>
      </c>
      <c r="K29" s="2227"/>
      <c r="L29" s="2227"/>
      <c r="M29" s="2227"/>
      <c r="N29" s="2227"/>
      <c r="O29" s="2228"/>
      <c r="P29" s="2226">
        <f>SUM(P19:U28)</f>
        <v>28</v>
      </c>
      <c r="Q29" s="2227"/>
      <c r="R29" s="2227"/>
      <c r="S29" s="2227"/>
      <c r="T29" s="2227"/>
      <c r="U29" s="2228"/>
      <c r="V29" s="2226">
        <f>SUM(V19:AA28)</f>
        <v>43</v>
      </c>
      <c r="W29" s="2227"/>
      <c r="X29" s="2227"/>
      <c r="Y29" s="2227"/>
      <c r="Z29" s="2227"/>
      <c r="AA29" s="2228"/>
      <c r="AB29" s="2226">
        <f>SUM(AB19:AG28)</f>
        <v>28</v>
      </c>
      <c r="AC29" s="2227"/>
      <c r="AD29" s="2227"/>
      <c r="AE29" s="2227"/>
      <c r="AF29" s="2227"/>
      <c r="AG29" s="2228"/>
      <c r="AH29" s="2226">
        <f>SUM(AH19:AM28)</f>
        <v>20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2" t="s">
        <v>2434</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6"/>
    </row>
    <row r="32" spans="1:58" ht="15" thickBot="1">
      <c r="A32" s="1192"/>
      <c r="B32" s="2235" t="s">
        <v>2433</v>
      </c>
      <c r="C32" s="2236"/>
      <c r="D32" s="2236"/>
      <c r="E32" s="2236"/>
      <c r="F32" s="2236"/>
      <c r="G32" s="2236"/>
      <c r="H32" s="2236"/>
      <c r="I32" s="2236"/>
      <c r="J32" s="2239" t="s">
        <v>2432</v>
      </c>
      <c r="K32" s="2240"/>
      <c r="L32" s="2240"/>
      <c r="M32" s="2240"/>
      <c r="N32" s="2239" t="s">
        <v>2431</v>
      </c>
      <c r="O32" s="2240"/>
      <c r="P32" s="2240"/>
      <c r="Q32" s="2242"/>
      <c r="R32" s="2244" t="s">
        <v>2430</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6"/>
    </row>
    <row r="33" spans="1:58" ht="15" customHeight="1">
      <c r="A33" s="1192"/>
      <c r="B33" s="2237"/>
      <c r="C33" s="2238"/>
      <c r="D33" s="2238"/>
      <c r="E33" s="2238"/>
      <c r="F33" s="2238"/>
      <c r="G33" s="2238"/>
      <c r="H33" s="2238"/>
      <c r="I33" s="2238"/>
      <c r="J33" s="2241"/>
      <c r="K33" s="2241"/>
      <c r="L33" s="2241"/>
      <c r="M33" s="2241"/>
      <c r="N33" s="2241"/>
      <c r="O33" s="2241"/>
      <c r="P33" s="2241"/>
      <c r="Q33" s="2243"/>
      <c r="R33" s="2247" t="s">
        <v>2429</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6"/>
    </row>
    <row r="34" spans="1:58" ht="15.75" customHeight="1" thickBot="1">
      <c r="A34" s="1192"/>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6"/>
    </row>
    <row r="35" spans="1:58" ht="15.75" customHeight="1">
      <c r="A35" s="1192"/>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2428</v>
      </c>
      <c r="AT35" s="2256"/>
      <c r="AU35" s="2256"/>
      <c r="AV35" s="2256"/>
      <c r="AW35" s="2256"/>
      <c r="AX35" s="2264"/>
      <c r="AY35" s="2255" t="s">
        <v>2427</v>
      </c>
      <c r="AZ35" s="2256"/>
      <c r="BA35" s="2256"/>
      <c r="BB35" s="2256"/>
      <c r="BC35" s="2256"/>
      <c r="BD35" s="2257"/>
      <c r="BE35" s="1196"/>
    </row>
    <row r="36" spans="1:58" ht="15.75" customHeight="1">
      <c r="A36" s="1192"/>
      <c r="B36" s="2159" t="s">
        <v>2426</v>
      </c>
      <c r="C36" s="2160"/>
      <c r="D36" s="2160"/>
      <c r="E36" s="2160"/>
      <c r="F36" s="2160"/>
      <c r="G36" s="2160"/>
      <c r="H36" s="2160"/>
      <c r="I36" s="2160"/>
      <c r="J36" s="2224" t="s">
        <v>2425</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6"/>
    </row>
    <row r="37" spans="1:58" ht="15.75" customHeight="1">
      <c r="A37" s="1192"/>
      <c r="B37" s="2159" t="s">
        <v>2424</v>
      </c>
      <c r="C37" s="2160"/>
      <c r="D37" s="2160"/>
      <c r="E37" s="2160"/>
      <c r="F37" s="2160"/>
      <c r="G37" s="2160"/>
      <c r="H37" s="2160"/>
      <c r="I37" s="2160"/>
      <c r="J37" s="2224" t="s">
        <v>2423</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6"/>
    </row>
    <row r="38" spans="1:58" ht="15.75" customHeight="1">
      <c r="A38" s="1192"/>
      <c r="B38" s="2159" t="s">
        <v>2422</v>
      </c>
      <c r="C38" s="2160"/>
      <c r="D38" s="2160"/>
      <c r="E38" s="2160"/>
      <c r="F38" s="2160"/>
      <c r="G38" s="2160"/>
      <c r="H38" s="2160"/>
      <c r="I38" s="2160"/>
      <c r="J38" s="2224" t="s">
        <v>2421</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6"/>
    </row>
    <row r="39" spans="1:58" ht="15.75" customHeight="1">
      <c r="A39" s="1192"/>
      <c r="B39" s="2159" t="s">
        <v>2420</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6"/>
    </row>
    <row r="40" spans="1:58" ht="15.75" customHeight="1">
      <c r="A40" s="1192"/>
      <c r="B40" s="2159" t="s">
        <v>2420</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6"/>
    </row>
    <row r="41" spans="1:58" ht="15.75" customHeight="1">
      <c r="A41" s="1192"/>
      <c r="B41" s="2159" t="s">
        <v>2419</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6"/>
    </row>
    <row r="42" spans="1:58" ht="15.75" customHeight="1">
      <c r="A42" s="1192"/>
      <c r="B42" s="2159" t="s">
        <v>2419</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6"/>
    </row>
    <row r="43" spans="1:58" ht="15.75" customHeight="1">
      <c r="A43" s="1192"/>
      <c r="B43" s="2164" t="s">
        <v>2418</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6"/>
    </row>
    <row r="44" spans="1:58" ht="15.75" customHeight="1">
      <c r="A44" s="1192"/>
      <c r="B44" s="2164" t="s">
        <v>2417</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6"/>
    </row>
    <row r="45" spans="1:58" ht="15.75" customHeight="1">
      <c r="A45" s="1192"/>
      <c r="B45" s="2164" t="s">
        <v>2416</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6"/>
    </row>
    <row r="46" spans="1:58" ht="15.75" customHeight="1">
      <c r="A46" s="1192"/>
      <c r="B46" s="2164" t="s">
        <v>2340</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6"/>
    </row>
    <row r="47" spans="1:58" ht="15.75" customHeight="1" thickBot="1">
      <c r="A47" s="1192"/>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8" t="s">
        <v>2413</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4" t="s">
        <v>2406</v>
      </c>
      <c r="C51" s="2099"/>
      <c r="D51" s="2099"/>
      <c r="E51" s="2099"/>
      <c r="F51" s="2099"/>
      <c r="G51" s="2099"/>
      <c r="H51" s="2099"/>
      <c r="I51" s="2099"/>
      <c r="J51" s="2099" t="s">
        <v>2412</v>
      </c>
      <c r="K51" s="2099"/>
      <c r="L51" s="2099"/>
      <c r="M51" s="2099"/>
      <c r="N51" s="2099"/>
      <c r="O51" s="2099"/>
      <c r="P51" s="2099"/>
      <c r="Q51" s="2099"/>
      <c r="R51" s="2203" t="s">
        <v>2411</v>
      </c>
      <c r="S51" s="2203"/>
      <c r="T51" s="2203"/>
      <c r="U51" s="2203"/>
      <c r="V51" s="2203"/>
      <c r="W51" s="2203"/>
      <c r="X51" s="2203"/>
      <c r="Y51" s="2203"/>
      <c r="Z51" s="2203" t="s">
        <v>2410</v>
      </c>
      <c r="AA51" s="2203"/>
      <c r="AB51" s="2203"/>
      <c r="AC51" s="2203"/>
      <c r="AD51" s="2203"/>
      <c r="AE51" s="2203"/>
      <c r="AF51" s="2203"/>
      <c r="AG51" s="2203"/>
      <c r="AH51" s="2203" t="s">
        <v>2409</v>
      </c>
      <c r="AI51" s="2203"/>
      <c r="AJ51" s="2203"/>
      <c r="AK51" s="2203"/>
      <c r="AL51" s="2203"/>
      <c r="AM51" s="2203"/>
      <c r="AN51" s="2203"/>
      <c r="AO51" s="220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4" t="s">
        <v>2408</v>
      </c>
      <c r="C52" s="2165"/>
      <c r="D52" s="2165"/>
      <c r="E52" s="2165"/>
      <c r="F52" s="2165"/>
      <c r="G52" s="2165"/>
      <c r="H52" s="2165"/>
      <c r="I52" s="2165"/>
      <c r="J52" s="1985">
        <v>0</v>
      </c>
      <c r="K52" s="1985"/>
      <c r="L52" s="1985"/>
      <c r="M52" s="1985"/>
      <c r="N52" s="1985"/>
      <c r="O52" s="1985"/>
      <c r="P52" s="1985"/>
      <c r="Q52" s="1985"/>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4" t="s">
        <v>2407</v>
      </c>
      <c r="C53" s="2165"/>
      <c r="D53" s="2165"/>
      <c r="E53" s="2165"/>
      <c r="F53" s="2165"/>
      <c r="G53" s="2165"/>
      <c r="H53" s="2165"/>
      <c r="I53" s="2165"/>
      <c r="J53" s="1985">
        <v>0</v>
      </c>
      <c r="K53" s="1985"/>
      <c r="L53" s="1985"/>
      <c r="M53" s="1985"/>
      <c r="N53" s="1985"/>
      <c r="O53" s="1985"/>
      <c r="P53" s="1985"/>
      <c r="Q53" s="1985"/>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4"/>
      <c r="C54" s="2165"/>
      <c r="D54" s="2165"/>
      <c r="E54" s="2165"/>
      <c r="F54" s="2165"/>
      <c r="G54" s="2165"/>
      <c r="H54" s="2165"/>
      <c r="I54" s="2165"/>
      <c r="J54" s="1985"/>
      <c r="K54" s="1985"/>
      <c r="L54" s="1985"/>
      <c r="M54" s="1985"/>
      <c r="N54" s="1985"/>
      <c r="O54" s="1985"/>
      <c r="P54" s="1985"/>
      <c r="Q54" s="1985"/>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4"/>
      <c r="C55" s="2165"/>
      <c r="D55" s="2165"/>
      <c r="E55" s="2165"/>
      <c r="F55" s="2165"/>
      <c r="G55" s="2165"/>
      <c r="H55" s="2165"/>
      <c r="I55" s="2165"/>
      <c r="J55" s="1985"/>
      <c r="K55" s="1985"/>
      <c r="L55" s="1985"/>
      <c r="M55" s="1985"/>
      <c r="N55" s="1985"/>
      <c r="O55" s="1985"/>
      <c r="P55" s="1985"/>
      <c r="Q55" s="1985"/>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4"/>
      <c r="C56" s="2165"/>
      <c r="D56" s="2165"/>
      <c r="E56" s="2165"/>
      <c r="F56" s="2165"/>
      <c r="G56" s="2165"/>
      <c r="H56" s="2165"/>
      <c r="I56" s="2165"/>
      <c r="J56" s="1985"/>
      <c r="K56" s="1985"/>
      <c r="L56" s="1985"/>
      <c r="M56" s="1985"/>
      <c r="N56" s="1985"/>
      <c r="O56" s="1985"/>
      <c r="P56" s="1985"/>
      <c r="Q56" s="1985"/>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9" t="s">
        <v>1587</v>
      </c>
      <c r="C57" s="2130"/>
      <c r="D57" s="2130"/>
      <c r="E57" s="2130"/>
      <c r="F57" s="2130"/>
      <c r="G57" s="2130"/>
      <c r="H57" s="2130"/>
      <c r="I57" s="2130"/>
      <c r="J57" s="2130"/>
      <c r="K57" s="2130"/>
      <c r="L57" s="2130"/>
      <c r="M57" s="2130"/>
      <c r="N57" s="2130"/>
      <c r="O57" s="2130"/>
      <c r="P57" s="2130"/>
      <c r="Q57" s="2130"/>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2" t="s">
        <v>2406</v>
      </c>
      <c r="C59" s="2193"/>
      <c r="D59" s="2193"/>
      <c r="E59" s="2193"/>
      <c r="F59" s="2193"/>
      <c r="G59" s="2193"/>
      <c r="H59" s="2193"/>
      <c r="I59" s="2194"/>
      <c r="J59" s="2097" t="s">
        <v>2405</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2"/>
      <c r="AY59" s="1192"/>
      <c r="AZ59" s="1192"/>
      <c r="BA59" s="1192"/>
      <c r="BB59" s="1192"/>
      <c r="BC59" s="1192"/>
      <c r="BD59" s="1192"/>
      <c r="BE59" s="1196"/>
    </row>
    <row r="60" spans="1:58" ht="15.75" customHeight="1">
      <c r="A60" s="1192"/>
      <c r="B60" s="2184" t="str">
        <f>IF(B52="", "", B52)</f>
        <v>Services Company 1</v>
      </c>
      <c r="C60" s="2185"/>
      <c r="D60" s="2185"/>
      <c r="E60" s="2185"/>
      <c r="F60" s="2185"/>
      <c r="G60" s="2185"/>
      <c r="H60" s="2185"/>
      <c r="I60" s="2186"/>
      <c r="J60" s="2187"/>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2"/>
      <c r="AY60" s="1192"/>
      <c r="AZ60" s="1192"/>
      <c r="BA60" s="1192"/>
      <c r="BB60" s="1192"/>
      <c r="BC60" s="1192"/>
      <c r="BD60" s="1192"/>
      <c r="BE60" s="1196"/>
    </row>
    <row r="61" spans="1:58" ht="15.75" customHeight="1">
      <c r="A61" s="1192"/>
      <c r="B61" s="2184" t="str">
        <f>IF(B53="", "", B53)</f>
        <v>Services Company 2</v>
      </c>
      <c r="C61" s="2185"/>
      <c r="D61" s="2185"/>
      <c r="E61" s="2185"/>
      <c r="F61" s="2185"/>
      <c r="G61" s="2185"/>
      <c r="H61" s="2185"/>
      <c r="I61" s="2186"/>
      <c r="J61" s="2187"/>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2"/>
      <c r="AY61" s="1192"/>
      <c r="AZ61" s="1192"/>
      <c r="BA61" s="1192"/>
      <c r="BB61" s="1192"/>
      <c r="BC61" s="1192"/>
      <c r="BD61" s="1192"/>
      <c r="BE61" s="1196"/>
    </row>
    <row r="62" spans="1:58" ht="15.75" customHeight="1">
      <c r="A62" s="1192"/>
      <c r="B62" s="2184" t="str">
        <f>IF(B54="", "", B54)</f>
        <v/>
      </c>
      <c r="C62" s="2185"/>
      <c r="D62" s="2185"/>
      <c r="E62" s="2185"/>
      <c r="F62" s="2185"/>
      <c r="G62" s="2185"/>
      <c r="H62" s="2185"/>
      <c r="I62" s="2186"/>
      <c r="J62" s="2187"/>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2"/>
      <c r="AY62" s="1192"/>
      <c r="AZ62" s="1192"/>
      <c r="BA62" s="1192"/>
      <c r="BB62" s="1192"/>
      <c r="BC62" s="1192"/>
      <c r="BD62" s="1192"/>
      <c r="BE62" s="1196"/>
    </row>
    <row r="63" spans="1:58" ht="15.75" customHeight="1">
      <c r="A63" s="1192"/>
      <c r="B63" s="2184" t="str">
        <f>IF(B55="", "", B55)</f>
        <v/>
      </c>
      <c r="C63" s="2185"/>
      <c r="D63" s="2185"/>
      <c r="E63" s="2185"/>
      <c r="F63" s="2185"/>
      <c r="G63" s="2185"/>
      <c r="H63" s="2185"/>
      <c r="I63" s="2186"/>
      <c r="J63" s="2187"/>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2"/>
      <c r="AY63" s="1192"/>
      <c r="AZ63" s="1192"/>
      <c r="BA63" s="1192"/>
      <c r="BB63" s="1192"/>
      <c r="BC63" s="1192"/>
      <c r="BD63" s="1192"/>
      <c r="BE63" s="1196"/>
    </row>
    <row r="64" spans="1:58" ht="15.75" customHeight="1" thickBot="1">
      <c r="A64" s="1192"/>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6" t="s">
        <v>2403</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2"/>
      <c r="AC68" s="2022" t="s">
        <v>2402</v>
      </c>
      <c r="AD68" s="2023"/>
      <c r="AE68" s="2023"/>
      <c r="AF68" s="2023"/>
      <c r="AG68" s="2023"/>
      <c r="AH68" s="2023"/>
      <c r="AI68" s="2023"/>
      <c r="AJ68" s="2023"/>
      <c r="AK68" s="2023"/>
      <c r="AL68" s="2023"/>
      <c r="AM68" s="2023"/>
      <c r="AN68" s="2023"/>
      <c r="AO68" s="2023"/>
      <c r="AP68" s="2023"/>
      <c r="AQ68" s="2023"/>
      <c r="AR68" s="2023"/>
      <c r="AS68" s="2023"/>
      <c r="AT68" s="2023"/>
      <c r="AU68" s="2023"/>
      <c r="AV68" s="2176" t="s">
        <v>670</v>
      </c>
      <c r="AW68" s="2079"/>
      <c r="AX68" s="2079"/>
      <c r="AY68" s="2079"/>
      <c r="AZ68" s="2079"/>
      <c r="BA68" s="2079"/>
      <c r="BB68" s="2079"/>
      <c r="BC68" s="2080"/>
      <c r="BD68" s="1192"/>
      <c r="BE68" s="1196"/>
      <c r="BM68" s="1201" t="s">
        <v>2401</v>
      </c>
    </row>
    <row r="69" spans="1:94" ht="15.75" customHeight="1" thickTop="1" thickBot="1">
      <c r="A69" s="1192"/>
      <c r="B69" s="2177" t="s">
        <v>2400</v>
      </c>
      <c r="C69" s="2178"/>
      <c r="D69" s="2178"/>
      <c r="E69" s="2178"/>
      <c r="F69" s="2178"/>
      <c r="G69" s="2178"/>
      <c r="H69" s="2178"/>
      <c r="I69" s="2178"/>
      <c r="J69" s="2178"/>
      <c r="K69" s="2178"/>
      <c r="L69" s="2178"/>
      <c r="M69" s="2178"/>
      <c r="N69" s="2178"/>
      <c r="O69" s="2179" t="s">
        <v>2399</v>
      </c>
      <c r="P69" s="2180"/>
      <c r="Q69" s="2180"/>
      <c r="R69" s="2180"/>
      <c r="S69" s="2180"/>
      <c r="T69" s="2180"/>
      <c r="U69" s="2180"/>
      <c r="V69" s="2180"/>
      <c r="W69" s="2180"/>
      <c r="X69" s="2180"/>
      <c r="Y69" s="2180"/>
      <c r="Z69" s="2180"/>
      <c r="AA69" s="2181"/>
      <c r="AB69" s="1192"/>
      <c r="AC69" s="2182" t="s">
        <v>2398</v>
      </c>
      <c r="AD69" s="2183"/>
      <c r="AE69" s="2183"/>
      <c r="AF69" s="2183"/>
      <c r="AG69" s="2183"/>
      <c r="AH69" s="2183"/>
      <c r="AI69" s="2183"/>
      <c r="AJ69" s="2183"/>
      <c r="AK69" s="2183"/>
      <c r="AL69" s="2183"/>
      <c r="AM69" s="2183"/>
      <c r="AN69" s="2183"/>
      <c r="AO69" s="2183"/>
      <c r="AP69" s="2183"/>
      <c r="AQ69" s="2183"/>
      <c r="AR69" s="2183"/>
      <c r="AS69" s="2183"/>
      <c r="AT69" s="2183"/>
      <c r="AU69" s="2183"/>
      <c r="AV69" s="2176" t="s">
        <v>670</v>
      </c>
      <c r="AW69" s="2079"/>
      <c r="AX69" s="2079"/>
      <c r="AY69" s="2079"/>
      <c r="AZ69" s="2079"/>
      <c r="BA69" s="2079"/>
      <c r="BB69" s="2079"/>
      <c r="BC69" s="2080"/>
      <c r="BD69" s="1192"/>
      <c r="BE69" s="1196"/>
      <c r="BM69" s="1202" t="s">
        <v>546</v>
      </c>
    </row>
    <row r="70" spans="1:94" ht="15.75" customHeight="1">
      <c r="A70" s="1192"/>
      <c r="B70" s="2159" t="s">
        <v>2397</v>
      </c>
      <c r="C70" s="2160"/>
      <c r="D70" s="2160"/>
      <c r="E70" s="2160"/>
      <c r="F70" s="2160"/>
      <c r="G70" s="2160"/>
      <c r="H70" s="2160"/>
      <c r="I70" s="2160"/>
      <c r="J70" s="2160"/>
      <c r="K70" s="2160"/>
      <c r="L70" s="2160"/>
      <c r="M70" s="2160"/>
      <c r="N70" s="2160"/>
      <c r="O70" s="2030">
        <v>0</v>
      </c>
      <c r="P70" s="2030"/>
      <c r="Q70" s="2030"/>
      <c r="R70" s="2030"/>
      <c r="S70" s="2030"/>
      <c r="T70" s="2030"/>
      <c r="U70" s="2030"/>
      <c r="V70" s="2030"/>
      <c r="W70" s="2030"/>
      <c r="X70" s="2030"/>
      <c r="Y70" s="2030"/>
      <c r="Z70" s="2030"/>
      <c r="AA70" s="2161"/>
      <c r="AB70" s="1192"/>
      <c r="AC70" s="2068" t="s">
        <v>2396</v>
      </c>
      <c r="AD70" s="2024"/>
      <c r="AE70" s="2024"/>
      <c r="AF70" s="2170"/>
      <c r="AG70" s="2170"/>
      <c r="AH70" s="2170"/>
      <c r="AI70" s="2170"/>
      <c r="AJ70" s="2170"/>
      <c r="AK70" s="2170"/>
      <c r="AL70" s="2170"/>
      <c r="AM70" s="2170"/>
      <c r="AN70" s="2170"/>
      <c r="AO70" s="2170"/>
      <c r="AP70" s="2170"/>
      <c r="AQ70" s="2170"/>
      <c r="AR70" s="2170"/>
      <c r="AS70" s="2170"/>
      <c r="AT70" s="2170"/>
      <c r="AU70" s="2171"/>
      <c r="AV70" s="1192"/>
      <c r="AW70" s="1192"/>
      <c r="AX70" s="1192"/>
      <c r="AY70" s="1192"/>
      <c r="AZ70" s="1192"/>
      <c r="BA70" s="1192"/>
      <c r="BB70" s="1192"/>
      <c r="BC70" s="1192"/>
      <c r="BD70" s="1192"/>
      <c r="BE70" s="1196"/>
      <c r="BM70" s="1203" t="s">
        <v>670</v>
      </c>
    </row>
    <row r="71" spans="1:94" ht="15.75" customHeight="1" thickBot="1">
      <c r="A71" s="1192"/>
      <c r="B71" s="2159" t="s">
        <v>2395</v>
      </c>
      <c r="C71" s="2160"/>
      <c r="D71" s="2160"/>
      <c r="E71" s="2160"/>
      <c r="F71" s="2160"/>
      <c r="G71" s="2160"/>
      <c r="H71" s="2160"/>
      <c r="I71" s="2160"/>
      <c r="J71" s="2160"/>
      <c r="K71" s="2160"/>
      <c r="L71" s="2160"/>
      <c r="M71" s="2160"/>
      <c r="N71" s="2160"/>
      <c r="O71" s="2030">
        <v>0</v>
      </c>
      <c r="P71" s="2030"/>
      <c r="Q71" s="2030"/>
      <c r="R71" s="2030"/>
      <c r="S71" s="2030"/>
      <c r="T71" s="2030"/>
      <c r="U71" s="2030"/>
      <c r="V71" s="2030"/>
      <c r="W71" s="2030"/>
      <c r="X71" s="2030"/>
      <c r="Y71" s="2030"/>
      <c r="Z71" s="2030"/>
      <c r="AA71" s="2161"/>
      <c r="AB71" s="1192"/>
      <c r="AC71" s="2172" t="s">
        <v>2394</v>
      </c>
      <c r="AD71" s="2173"/>
      <c r="AE71" s="2173"/>
      <c r="AF71" s="2174"/>
      <c r="AG71" s="2174"/>
      <c r="AH71" s="2174"/>
      <c r="AI71" s="2174"/>
      <c r="AJ71" s="2174"/>
      <c r="AK71" s="2174"/>
      <c r="AL71" s="2174"/>
      <c r="AM71" s="2174"/>
      <c r="AN71" s="2174"/>
      <c r="AO71" s="2174"/>
      <c r="AP71" s="2174"/>
      <c r="AQ71" s="2174"/>
      <c r="AR71" s="2174"/>
      <c r="AS71" s="2174"/>
      <c r="AT71" s="2174"/>
      <c r="AU71" s="2175"/>
      <c r="AV71" s="1192"/>
      <c r="AW71" s="1192"/>
      <c r="AX71" s="1192"/>
      <c r="AY71" s="1192"/>
      <c r="AZ71" s="1192"/>
      <c r="BA71" s="1192"/>
      <c r="BB71" s="1192"/>
      <c r="BC71" s="1192"/>
      <c r="BD71" s="1192"/>
      <c r="BE71" s="1196"/>
      <c r="BM71" s="1189" t="s">
        <v>2393</v>
      </c>
    </row>
    <row r="72" spans="1:94" ht="15.75" customHeight="1">
      <c r="A72" s="1192"/>
      <c r="B72" s="2159" t="s">
        <v>2392</v>
      </c>
      <c r="C72" s="2160"/>
      <c r="D72" s="2160"/>
      <c r="E72" s="2160"/>
      <c r="F72" s="2160"/>
      <c r="G72" s="2160"/>
      <c r="H72" s="2160"/>
      <c r="I72" s="2160"/>
      <c r="J72" s="2160"/>
      <c r="K72" s="2160"/>
      <c r="L72" s="2160"/>
      <c r="M72" s="2160"/>
      <c r="N72" s="2160"/>
      <c r="O72" s="2030">
        <v>0</v>
      </c>
      <c r="P72" s="2030"/>
      <c r="Q72" s="2030"/>
      <c r="R72" s="2030"/>
      <c r="S72" s="2030"/>
      <c r="T72" s="2030"/>
      <c r="U72" s="2030"/>
      <c r="V72" s="2030"/>
      <c r="W72" s="2030"/>
      <c r="X72" s="2030"/>
      <c r="Y72" s="2030"/>
      <c r="Z72" s="2030"/>
      <c r="AA72" s="2161"/>
      <c r="AB72" s="1192"/>
      <c r="AC72" s="2162" t="s">
        <v>2391</v>
      </c>
      <c r="AD72" s="2163"/>
      <c r="AE72" s="2163"/>
      <c r="AF72" s="2163"/>
      <c r="AG72" s="2163"/>
      <c r="AH72" s="2163"/>
      <c r="AI72" s="2163"/>
      <c r="AJ72" s="2163"/>
      <c r="AK72" s="2163"/>
      <c r="AL72" s="2163"/>
      <c r="AM72" s="2163"/>
      <c r="AN72" s="2163"/>
      <c r="AO72" s="2163"/>
      <c r="AP72" s="2163"/>
      <c r="AQ72" s="2163"/>
      <c r="AR72" s="2163"/>
      <c r="AS72" s="2163"/>
      <c r="AT72" s="2163"/>
      <c r="AU72" s="2163"/>
      <c r="AV72" s="2024"/>
      <c r="AW72" s="2024"/>
      <c r="AX72" s="2024"/>
      <c r="AY72" s="2024"/>
      <c r="AZ72" s="2024"/>
      <c r="BA72" s="2024"/>
      <c r="BB72" s="2024"/>
      <c r="BC72" s="2025"/>
      <c r="BD72" s="1192"/>
      <c r="BE72" s="1196"/>
    </row>
    <row r="73" spans="1:94" ht="15.75" customHeight="1">
      <c r="A73" s="1192"/>
      <c r="B73" s="2164" t="s">
        <v>2390</v>
      </c>
      <c r="C73" s="2165"/>
      <c r="D73" s="2165"/>
      <c r="E73" s="2165"/>
      <c r="F73" s="2165"/>
      <c r="G73" s="2165"/>
      <c r="H73" s="2165"/>
      <c r="I73" s="2165"/>
      <c r="J73" s="2165"/>
      <c r="K73" s="2165"/>
      <c r="L73" s="2165"/>
      <c r="M73" s="2165"/>
      <c r="N73" s="2165"/>
      <c r="O73" s="2030">
        <v>0</v>
      </c>
      <c r="P73" s="2030"/>
      <c r="Q73" s="2030"/>
      <c r="R73" s="2030"/>
      <c r="S73" s="2030"/>
      <c r="T73" s="2030"/>
      <c r="U73" s="2030"/>
      <c r="V73" s="2030"/>
      <c r="W73" s="2030"/>
      <c r="X73" s="2030"/>
      <c r="Y73" s="2030"/>
      <c r="Z73" s="2030"/>
      <c r="AA73" s="2161"/>
      <c r="AB73" s="1192"/>
      <c r="AC73" s="2039" t="s">
        <v>2335</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2"/>
      <c r="BE73" s="1196"/>
      <c r="CK73" s="1190"/>
      <c r="CL73" s="1190"/>
      <c r="CM73" s="1190"/>
      <c r="CN73" s="1190"/>
      <c r="CO73" s="1190"/>
      <c r="CP73" s="1190"/>
    </row>
    <row r="74" spans="1:94" ht="15.75" customHeight="1">
      <c r="A74" s="1192"/>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61"/>
      <c r="AB74" s="1192"/>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2"/>
      <c r="BE74" s="1196"/>
      <c r="CK74" s="1190"/>
      <c r="CL74" s="1190"/>
      <c r="CM74" s="1190"/>
      <c r="CN74" s="1190"/>
      <c r="CO74" s="1190"/>
      <c r="CP74" s="1190"/>
    </row>
    <row r="75" spans="1:94" ht="15.75" customHeight="1" thickBot="1">
      <c r="A75" s="1192"/>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2"/>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4"/>
      <c r="G79" s="2145"/>
      <c r="H79" s="2145"/>
      <c r="I79" s="2145"/>
      <c r="J79" s="2145"/>
      <c r="K79" s="2145"/>
      <c r="L79" s="2145"/>
      <c r="M79" s="2145"/>
      <c r="N79" s="2145"/>
      <c r="O79" s="2145"/>
      <c r="P79" s="2145"/>
      <c r="Q79" s="2145"/>
      <c r="R79" s="2145"/>
      <c r="S79" s="2145"/>
      <c r="T79" s="214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7" t="s">
        <v>2388</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3" t="s">
        <v>2387</v>
      </c>
      <c r="C81" s="2154"/>
      <c r="D81" s="2154"/>
      <c r="E81" s="2154"/>
      <c r="F81" s="2154"/>
      <c r="G81" s="2154"/>
      <c r="H81" s="2154"/>
      <c r="I81" s="2154"/>
      <c r="J81" s="2154"/>
      <c r="K81" s="2154"/>
      <c r="L81" s="2154"/>
      <c r="M81" s="2154"/>
      <c r="N81" s="2154"/>
      <c r="O81" s="2154"/>
      <c r="P81" s="2154"/>
      <c r="Q81" s="2154"/>
      <c r="R81" s="2135" t="s">
        <v>2191</v>
      </c>
      <c r="S81" s="2136"/>
      <c r="T81" s="213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6" t="s">
        <v>2386</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2"/>
      <c r="AJ83" s="2120" t="s">
        <v>2385</v>
      </c>
      <c r="AK83" s="2121"/>
      <c r="AL83" s="2121"/>
      <c r="AM83" s="2121"/>
      <c r="AN83" s="2121"/>
      <c r="AO83" s="2121"/>
      <c r="AP83" s="2121"/>
      <c r="AQ83" s="2121"/>
      <c r="AR83" s="2121"/>
      <c r="AS83" s="2121"/>
      <c r="AT83" s="2121"/>
      <c r="AU83" s="2121"/>
      <c r="AV83" s="2121"/>
      <c r="AW83" s="2121"/>
      <c r="AX83" s="2121"/>
      <c r="AY83" s="2140" t="s">
        <v>546</v>
      </c>
      <c r="AZ83" s="2140"/>
      <c r="BA83" s="2140"/>
      <c r="BB83" s="2141"/>
      <c r="BC83" s="1192"/>
      <c r="BD83" s="1192"/>
      <c r="BE83" s="1196"/>
      <c r="CK83" s="1190"/>
      <c r="CL83" s="1190"/>
      <c r="CM83" s="1190"/>
      <c r="CN83" s="1190"/>
      <c r="CO83" s="1190"/>
      <c r="CP83" s="1190"/>
    </row>
    <row r="84" spans="1:94" ht="15.75" customHeight="1">
      <c r="A84" s="1192"/>
      <c r="B84" s="2134"/>
      <c r="C84" s="2099"/>
      <c r="D84" s="2099"/>
      <c r="E84" s="2099"/>
      <c r="F84" s="2099"/>
      <c r="G84" s="2099"/>
      <c r="H84" s="2099"/>
      <c r="I84" s="2099" t="s">
        <v>2375</v>
      </c>
      <c r="J84" s="2099"/>
      <c r="K84" s="2099"/>
      <c r="L84" s="2099"/>
      <c r="M84" s="2099"/>
      <c r="N84" s="2099"/>
      <c r="O84" s="2099" t="s">
        <v>2351</v>
      </c>
      <c r="P84" s="2099"/>
      <c r="Q84" s="2099"/>
      <c r="R84" s="2099"/>
      <c r="S84" s="2099"/>
      <c r="T84" s="2099"/>
      <c r="U84" s="2099"/>
      <c r="V84" s="2138" t="s">
        <v>2350</v>
      </c>
      <c r="W84" s="2138"/>
      <c r="X84" s="2138"/>
      <c r="Y84" s="2138"/>
      <c r="Z84" s="2138"/>
      <c r="AA84" s="2138"/>
      <c r="AB84" s="2069" t="s">
        <v>2374</v>
      </c>
      <c r="AC84" s="2069"/>
      <c r="AD84" s="2069"/>
      <c r="AE84" s="2069"/>
      <c r="AF84" s="2069"/>
      <c r="AG84" s="2069"/>
      <c r="AH84" s="2139"/>
      <c r="AI84" s="1192"/>
      <c r="AJ84" s="2123"/>
      <c r="AK84" s="2124"/>
      <c r="AL84" s="2124"/>
      <c r="AM84" s="2124"/>
      <c r="AN84" s="2124"/>
      <c r="AO84" s="2124"/>
      <c r="AP84" s="2124"/>
      <c r="AQ84" s="2124"/>
      <c r="AR84" s="2124"/>
      <c r="AS84" s="2124"/>
      <c r="AT84" s="2124"/>
      <c r="AU84" s="2124"/>
      <c r="AV84" s="2124"/>
      <c r="AW84" s="2124"/>
      <c r="AX84" s="2124"/>
      <c r="AY84" s="2142"/>
      <c r="AZ84" s="2142"/>
      <c r="BA84" s="2142"/>
      <c r="BB84" s="2143"/>
      <c r="BC84" s="1192"/>
      <c r="BD84" s="1192"/>
      <c r="BE84" s="1196"/>
      <c r="CK84" s="1190"/>
      <c r="CL84" s="1190"/>
      <c r="CM84" s="1190"/>
      <c r="CN84" s="1190"/>
      <c r="CO84" s="1190"/>
      <c r="CP84" s="1190"/>
    </row>
    <row r="85" spans="1:94" ht="15.75" customHeight="1">
      <c r="A85" s="1192"/>
      <c r="B85" s="2134"/>
      <c r="C85" s="2099"/>
      <c r="D85" s="2099"/>
      <c r="E85" s="2099"/>
      <c r="F85" s="2099"/>
      <c r="G85" s="2099"/>
      <c r="H85" s="2099"/>
      <c r="I85" s="2099"/>
      <c r="J85" s="2099"/>
      <c r="K85" s="2099"/>
      <c r="L85" s="2099"/>
      <c r="M85" s="2099"/>
      <c r="N85" s="2099"/>
      <c r="O85" s="2099"/>
      <c r="P85" s="2099"/>
      <c r="Q85" s="2099"/>
      <c r="R85" s="2099"/>
      <c r="S85" s="2099"/>
      <c r="T85" s="2099"/>
      <c r="U85" s="2099"/>
      <c r="V85" s="2138"/>
      <c r="W85" s="2138"/>
      <c r="X85" s="2138"/>
      <c r="Y85" s="2138"/>
      <c r="Z85" s="2138"/>
      <c r="AA85" s="2138"/>
      <c r="AB85" s="2069"/>
      <c r="AC85" s="2069"/>
      <c r="AD85" s="2069"/>
      <c r="AE85" s="2069"/>
      <c r="AF85" s="2069"/>
      <c r="AG85" s="2069"/>
      <c r="AH85" s="2139"/>
      <c r="AI85" s="1192"/>
      <c r="AJ85" s="2123"/>
      <c r="AK85" s="2124"/>
      <c r="AL85" s="2124"/>
      <c r="AM85" s="2124"/>
      <c r="AN85" s="2124"/>
      <c r="AO85" s="2124"/>
      <c r="AP85" s="2124"/>
      <c r="AQ85" s="2124"/>
      <c r="AR85" s="2124"/>
      <c r="AS85" s="2124"/>
      <c r="AT85" s="2124"/>
      <c r="AU85" s="2124"/>
      <c r="AV85" s="2124"/>
      <c r="AW85" s="2124"/>
      <c r="AX85" s="2124"/>
      <c r="AY85" s="2142"/>
      <c r="AZ85" s="2142"/>
      <c r="BA85" s="2142"/>
      <c r="BB85" s="2143"/>
      <c r="BC85" s="1192"/>
      <c r="BD85" s="1192"/>
      <c r="BE85" s="1196"/>
      <c r="CK85" s="1190"/>
      <c r="CL85" s="1190"/>
      <c r="CM85" s="1190"/>
      <c r="CN85" s="1190"/>
      <c r="CO85" s="1190"/>
      <c r="CP85" s="1190"/>
    </row>
    <row r="86" spans="1:94" ht="15.75" customHeight="1">
      <c r="A86" s="1192"/>
      <c r="B86" s="2134" t="s">
        <v>2373</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2"/>
      <c r="AJ86" s="2123"/>
      <c r="AK86" s="2124"/>
      <c r="AL86" s="2124"/>
      <c r="AM86" s="2124"/>
      <c r="AN86" s="2124"/>
      <c r="AO86" s="2124"/>
      <c r="AP86" s="2124"/>
      <c r="AQ86" s="2124"/>
      <c r="AR86" s="2124"/>
      <c r="AS86" s="2124"/>
      <c r="AT86" s="2124"/>
      <c r="AU86" s="2124"/>
      <c r="AV86" s="2124"/>
      <c r="AW86" s="2124"/>
      <c r="AX86" s="2124"/>
      <c r="AY86" s="2142"/>
      <c r="AZ86" s="2142"/>
      <c r="BA86" s="2142"/>
      <c r="BB86" s="2143"/>
      <c r="BC86" s="1192"/>
      <c r="BD86" s="1192"/>
      <c r="BE86" s="1196"/>
      <c r="CK86" s="1190"/>
      <c r="CL86" s="1190"/>
      <c r="CM86" s="1190"/>
      <c r="CN86" s="1190"/>
      <c r="CO86" s="1190"/>
      <c r="CP86" s="1190"/>
    </row>
    <row r="87" spans="1:94" ht="15.75" customHeight="1">
      <c r="A87" s="1192"/>
      <c r="B87" s="2134" t="s">
        <v>2372</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2"/>
      <c r="AJ87" s="2039" t="s">
        <v>2379</v>
      </c>
      <c r="AK87" s="2040"/>
      <c r="AL87" s="2040"/>
      <c r="AM87" s="2040"/>
      <c r="AN87" s="2040"/>
      <c r="AO87" s="2040"/>
      <c r="AP87" s="2040"/>
      <c r="AQ87" s="2040"/>
      <c r="AR87" s="2040"/>
      <c r="AS87" s="2040"/>
      <c r="AT87" s="2040"/>
      <c r="AU87" s="2040"/>
      <c r="AV87" s="2040"/>
      <c r="AW87" s="2040"/>
      <c r="AX87" s="2040"/>
      <c r="AY87" s="2040"/>
      <c r="AZ87" s="2040"/>
      <c r="BA87" s="2040"/>
      <c r="BB87" s="2041"/>
      <c r="BC87" s="1192"/>
      <c r="BD87" s="1192"/>
      <c r="BE87" s="1196"/>
      <c r="CK87" s="1190"/>
      <c r="CL87" s="1190"/>
      <c r="CM87" s="1190"/>
      <c r="CN87" s="1190"/>
      <c r="CO87" s="1190"/>
      <c r="CP87" s="1190"/>
    </row>
    <row r="88" spans="1:94" ht="15.75" customHeight="1" thickBot="1">
      <c r="A88" s="1192"/>
      <c r="B88" s="2129" t="s">
        <v>2371</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2"/>
      <c r="AJ88" s="2042"/>
      <c r="AK88" s="2043"/>
      <c r="AL88" s="2043"/>
      <c r="AM88" s="2043"/>
      <c r="AN88" s="2043"/>
      <c r="AO88" s="2043"/>
      <c r="AP88" s="2043"/>
      <c r="AQ88" s="2043"/>
      <c r="AR88" s="2043"/>
      <c r="AS88" s="2043"/>
      <c r="AT88" s="2043"/>
      <c r="AU88" s="2043"/>
      <c r="AV88" s="2043"/>
      <c r="AW88" s="2043"/>
      <c r="AX88" s="2043"/>
      <c r="AY88" s="2043"/>
      <c r="AZ88" s="2043"/>
      <c r="BA88" s="2043"/>
      <c r="BB88" s="204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4"/>
      <c r="G92" s="2145"/>
      <c r="H92" s="2145"/>
      <c r="I92" s="2145"/>
      <c r="J92" s="2145"/>
      <c r="K92" s="2145"/>
      <c r="L92" s="2145"/>
      <c r="M92" s="2145"/>
      <c r="N92" s="2145"/>
      <c r="O92" s="2145"/>
      <c r="P92" s="2145"/>
      <c r="Q92" s="2145"/>
      <c r="R92" s="2145"/>
      <c r="S92" s="2145"/>
      <c r="T92" s="214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7" t="s">
        <v>2383</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3" t="s">
        <v>2382</v>
      </c>
      <c r="C94" s="2154"/>
      <c r="D94" s="2154"/>
      <c r="E94" s="2154"/>
      <c r="F94" s="2154"/>
      <c r="G94" s="2154"/>
      <c r="H94" s="2154"/>
      <c r="I94" s="2154"/>
      <c r="J94" s="2154"/>
      <c r="K94" s="2154"/>
      <c r="L94" s="2154"/>
      <c r="M94" s="2154"/>
      <c r="N94" s="2154"/>
      <c r="O94" s="2154"/>
      <c r="P94" s="2154"/>
      <c r="Q94" s="2155"/>
      <c r="R94" s="2135" t="s">
        <v>2191</v>
      </c>
      <c r="S94" s="2136"/>
      <c r="T94" s="213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6" t="s">
        <v>2381</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2"/>
      <c r="AJ96" s="2120" t="s">
        <v>2380</v>
      </c>
      <c r="AK96" s="2121"/>
      <c r="AL96" s="2121"/>
      <c r="AM96" s="2121"/>
      <c r="AN96" s="2121"/>
      <c r="AO96" s="2121"/>
      <c r="AP96" s="2121"/>
      <c r="AQ96" s="2121"/>
      <c r="AR96" s="2121"/>
      <c r="AS96" s="2121"/>
      <c r="AT96" s="2121"/>
      <c r="AU96" s="2121"/>
      <c r="AV96" s="2121"/>
      <c r="AW96" s="2121"/>
      <c r="AX96" s="2121"/>
      <c r="AY96" s="2140" t="s">
        <v>546</v>
      </c>
      <c r="AZ96" s="2140"/>
      <c r="BA96" s="2140"/>
      <c r="BB96" s="2141"/>
      <c r="BC96" s="1192"/>
      <c r="BD96" s="1192"/>
      <c r="BE96" s="1196"/>
      <c r="BQ96" s="1189" t="str">
        <f>Application!M243&amp;IF(TRIM(Application!AA249)&lt;&gt;""," ("&amp;Application!AA249&amp;")","")</f>
        <v>RCD GP II LLC (Resources for Community Development)</v>
      </c>
      <c r="BR96" s="1218">
        <f>Application!AH246</f>
        <v>0.01</v>
      </c>
      <c r="CM96" s="1190"/>
      <c r="CN96" s="1190"/>
      <c r="CO96" s="1190"/>
      <c r="CP96" s="1190"/>
    </row>
    <row r="97" spans="1:94" ht="15.75" customHeight="1">
      <c r="A97" s="1192"/>
      <c r="B97" s="2134"/>
      <c r="C97" s="2099"/>
      <c r="D97" s="2099"/>
      <c r="E97" s="2099"/>
      <c r="F97" s="2099"/>
      <c r="G97" s="2099"/>
      <c r="H97" s="2099"/>
      <c r="I97" s="2099" t="s">
        <v>2375</v>
      </c>
      <c r="J97" s="2099"/>
      <c r="K97" s="2099"/>
      <c r="L97" s="2099"/>
      <c r="M97" s="2099"/>
      <c r="N97" s="2099"/>
      <c r="O97" s="2099" t="s">
        <v>2351</v>
      </c>
      <c r="P97" s="2099"/>
      <c r="Q97" s="2099"/>
      <c r="R97" s="2099"/>
      <c r="S97" s="2099"/>
      <c r="T97" s="2099"/>
      <c r="U97" s="2099"/>
      <c r="V97" s="2138" t="s">
        <v>2350</v>
      </c>
      <c r="W97" s="2138"/>
      <c r="X97" s="2138"/>
      <c r="Y97" s="2138"/>
      <c r="Z97" s="2138"/>
      <c r="AA97" s="2138"/>
      <c r="AB97" s="2069" t="s">
        <v>2374</v>
      </c>
      <c r="AC97" s="2069"/>
      <c r="AD97" s="2069"/>
      <c r="AE97" s="2069"/>
      <c r="AF97" s="2069"/>
      <c r="AG97" s="2069"/>
      <c r="AH97" s="2139"/>
      <c r="AI97" s="1192"/>
      <c r="AJ97" s="2123"/>
      <c r="AK97" s="2124"/>
      <c r="AL97" s="2124"/>
      <c r="AM97" s="2124"/>
      <c r="AN97" s="2124"/>
      <c r="AO97" s="2124"/>
      <c r="AP97" s="2124"/>
      <c r="AQ97" s="2124"/>
      <c r="AR97" s="2124"/>
      <c r="AS97" s="2124"/>
      <c r="AT97" s="2124"/>
      <c r="AU97" s="2124"/>
      <c r="AV97" s="2124"/>
      <c r="AW97" s="2124"/>
      <c r="AX97" s="2124"/>
      <c r="AY97" s="2142"/>
      <c r="AZ97" s="2142"/>
      <c r="BA97" s="2142"/>
      <c r="BB97" s="2143"/>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4"/>
      <c r="C98" s="2099"/>
      <c r="D98" s="2099"/>
      <c r="E98" s="2099"/>
      <c r="F98" s="2099"/>
      <c r="G98" s="2099"/>
      <c r="H98" s="2099"/>
      <c r="I98" s="2099"/>
      <c r="J98" s="2099"/>
      <c r="K98" s="2099"/>
      <c r="L98" s="2099"/>
      <c r="M98" s="2099"/>
      <c r="N98" s="2099"/>
      <c r="O98" s="2099"/>
      <c r="P98" s="2099"/>
      <c r="Q98" s="2099"/>
      <c r="R98" s="2099"/>
      <c r="S98" s="2099"/>
      <c r="T98" s="2099"/>
      <c r="U98" s="2099"/>
      <c r="V98" s="2138"/>
      <c r="W98" s="2138"/>
      <c r="X98" s="2138"/>
      <c r="Y98" s="2138"/>
      <c r="Z98" s="2138"/>
      <c r="AA98" s="2138"/>
      <c r="AB98" s="2069"/>
      <c r="AC98" s="2069"/>
      <c r="AD98" s="2069"/>
      <c r="AE98" s="2069"/>
      <c r="AF98" s="2069"/>
      <c r="AG98" s="2069"/>
      <c r="AH98" s="2139"/>
      <c r="AI98" s="1192"/>
      <c r="AJ98" s="2123"/>
      <c r="AK98" s="2124"/>
      <c r="AL98" s="2124"/>
      <c r="AM98" s="2124"/>
      <c r="AN98" s="2124"/>
      <c r="AO98" s="2124"/>
      <c r="AP98" s="2124"/>
      <c r="AQ98" s="2124"/>
      <c r="AR98" s="2124"/>
      <c r="AS98" s="2124"/>
      <c r="AT98" s="2124"/>
      <c r="AU98" s="2124"/>
      <c r="AV98" s="2124"/>
      <c r="AW98" s="2124"/>
      <c r="AX98" s="2124"/>
      <c r="AY98" s="2142"/>
      <c r="AZ98" s="2142"/>
      <c r="BA98" s="2142"/>
      <c r="BB98" s="214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4" t="s">
        <v>2373</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2"/>
      <c r="AJ99" s="2123"/>
      <c r="AK99" s="2124"/>
      <c r="AL99" s="2124"/>
      <c r="AM99" s="2124"/>
      <c r="AN99" s="2124"/>
      <c r="AO99" s="2124"/>
      <c r="AP99" s="2124"/>
      <c r="AQ99" s="2124"/>
      <c r="AR99" s="2124"/>
      <c r="AS99" s="2124"/>
      <c r="AT99" s="2124"/>
      <c r="AU99" s="2124"/>
      <c r="AV99" s="2124"/>
      <c r="AW99" s="2124"/>
      <c r="AX99" s="2124"/>
      <c r="AY99" s="2142"/>
      <c r="AZ99" s="2142"/>
      <c r="BA99" s="2142"/>
      <c r="BB99" s="2143"/>
      <c r="BC99" s="1192"/>
      <c r="BD99" s="1192"/>
      <c r="BE99" s="1196"/>
      <c r="CM99" s="1190"/>
      <c r="CN99" s="1190"/>
      <c r="CO99" s="1190"/>
      <c r="CP99" s="1190"/>
    </row>
    <row r="100" spans="1:94" ht="15.75" customHeight="1">
      <c r="A100" s="1192"/>
      <c r="B100" s="2134" t="s">
        <v>2372</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2"/>
      <c r="AJ100" s="2039" t="s">
        <v>2379</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2"/>
      <c r="BD100" s="1192"/>
      <c r="BE100" s="1196"/>
      <c r="CM100" s="1190"/>
      <c r="CN100" s="1190"/>
      <c r="CO100" s="1190"/>
      <c r="CP100" s="1190"/>
    </row>
    <row r="101" spans="1:94" ht="15.75" customHeight="1" thickBot="1">
      <c r="A101" s="1192"/>
      <c r="B101" s="2129" t="s">
        <v>2371</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2"/>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3"/>
      <c r="G104" s="2094"/>
      <c r="H104" s="2094"/>
      <c r="I104" s="2094"/>
      <c r="J104" s="2094"/>
      <c r="K104" s="2094"/>
      <c r="L104" s="2094"/>
      <c r="M104" s="2094"/>
      <c r="N104" s="2094"/>
      <c r="O104" s="2094"/>
      <c r="P104" s="2094"/>
      <c r="Q104" s="2094"/>
      <c r="R104" s="209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5" t="str">
        <f>IFERROR(INDEX(BR96:BR98,MATCH(F104,$BQ$96:$BQ$98,0))/SUM($BR$96:$BR$98),"")</f>
        <v/>
      </c>
      <c r="P105" s="2136"/>
      <c r="Q105" s="2136"/>
      <c r="R105" s="213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2" t="s">
        <v>2376</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4"/>
      <c r="C108" s="2099"/>
      <c r="D108" s="2099"/>
      <c r="E108" s="2099"/>
      <c r="F108" s="2099"/>
      <c r="G108" s="2099"/>
      <c r="H108" s="2099"/>
      <c r="I108" s="2099" t="s">
        <v>2375</v>
      </c>
      <c r="J108" s="2099"/>
      <c r="K108" s="2099"/>
      <c r="L108" s="2099"/>
      <c r="M108" s="2099"/>
      <c r="N108" s="2099"/>
      <c r="O108" s="2099" t="s">
        <v>2351</v>
      </c>
      <c r="P108" s="2099"/>
      <c r="Q108" s="2099"/>
      <c r="R108" s="2099"/>
      <c r="S108" s="2099"/>
      <c r="T108" s="2099"/>
      <c r="U108" s="2099"/>
      <c r="V108" s="2138" t="s">
        <v>2350</v>
      </c>
      <c r="W108" s="2138"/>
      <c r="X108" s="2138"/>
      <c r="Y108" s="2138"/>
      <c r="Z108" s="2138"/>
      <c r="AA108" s="2138"/>
      <c r="AB108" s="2069" t="s">
        <v>2374</v>
      </c>
      <c r="AC108" s="2069"/>
      <c r="AD108" s="2069"/>
      <c r="AE108" s="2069"/>
      <c r="AF108" s="2069"/>
      <c r="AG108" s="2069"/>
      <c r="AH108" s="213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4"/>
      <c r="C109" s="2099"/>
      <c r="D109" s="2099"/>
      <c r="E109" s="2099"/>
      <c r="F109" s="2099"/>
      <c r="G109" s="2099"/>
      <c r="H109" s="2099"/>
      <c r="I109" s="2099"/>
      <c r="J109" s="2099"/>
      <c r="K109" s="2099"/>
      <c r="L109" s="2099"/>
      <c r="M109" s="2099"/>
      <c r="N109" s="2099"/>
      <c r="O109" s="2099"/>
      <c r="P109" s="2099"/>
      <c r="Q109" s="2099"/>
      <c r="R109" s="2099"/>
      <c r="S109" s="2099"/>
      <c r="T109" s="2099"/>
      <c r="U109" s="2099"/>
      <c r="V109" s="2138"/>
      <c r="W109" s="2138"/>
      <c r="X109" s="2138"/>
      <c r="Y109" s="2138"/>
      <c r="Z109" s="2138"/>
      <c r="AA109" s="2138"/>
      <c r="AB109" s="2069"/>
      <c r="AC109" s="2069"/>
      <c r="AD109" s="2069"/>
      <c r="AE109" s="2069"/>
      <c r="AF109" s="2069"/>
      <c r="AG109" s="2069"/>
      <c r="AH109" s="213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4" t="s">
        <v>2373</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4" t="s">
        <v>2372</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9" t="s">
        <v>2371</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1"/>
      <c r="G115" s="2132"/>
      <c r="H115" s="2132"/>
      <c r="I115" s="2132"/>
      <c r="J115" s="2132"/>
      <c r="K115" s="2132"/>
      <c r="L115" s="2132"/>
      <c r="M115" s="2132"/>
      <c r="N115" s="2132"/>
      <c r="O115" s="2132"/>
      <c r="P115" s="2132"/>
      <c r="Q115" s="2132"/>
      <c r="R115" s="213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4" t="s">
        <v>2369</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2" t="s">
        <v>2369</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0" t="s">
        <v>2367</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6"/>
    </row>
    <row r="126" spans="1:57" ht="15.75" customHeight="1">
      <c r="A126" s="1192"/>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2"/>
      <c r="W126" s="1192"/>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6"/>
    </row>
    <row r="127" spans="1:57" ht="15.75" customHeight="1">
      <c r="A127" s="1192"/>
      <c r="B127" s="2036"/>
      <c r="C127" s="2037"/>
      <c r="D127" s="2037"/>
      <c r="E127" s="2037"/>
      <c r="F127" s="2037"/>
      <c r="G127" s="2037"/>
      <c r="H127" s="2037"/>
      <c r="I127" s="2099" t="s">
        <v>2366</v>
      </c>
      <c r="J127" s="2099"/>
      <c r="K127" s="2099"/>
      <c r="L127" s="2099"/>
      <c r="M127" s="2099"/>
      <c r="N127" s="2099"/>
      <c r="O127" s="2100" t="s">
        <v>2365</v>
      </c>
      <c r="P127" s="2100"/>
      <c r="Q127" s="2100"/>
      <c r="R127" s="2100"/>
      <c r="S127" s="2100"/>
      <c r="T127" s="2100"/>
      <c r="U127" s="2101"/>
      <c r="V127" s="1192"/>
      <c r="W127" s="1192"/>
      <c r="X127" s="2039" t="s">
        <v>2335</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6"/>
    </row>
    <row r="128" spans="1:57" ht="15.75" customHeight="1">
      <c r="A128" s="1192"/>
      <c r="B128" s="2070" t="s">
        <v>2349</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2"/>
      <c r="W128" s="1192"/>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6"/>
    </row>
    <row r="129" spans="1:57" ht="15.75" customHeight="1" thickBot="1">
      <c r="A129" s="1192"/>
      <c r="B129" s="2064" t="s">
        <v>2348</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2"/>
      <c r="W129" s="1192"/>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6"/>
    </row>
    <row r="133" spans="1:57" ht="15.75" customHeight="1">
      <c r="A133" s="1192"/>
      <c r="B133" s="2096" t="s">
        <v>2363</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2"/>
      <c r="W133" s="1192"/>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6"/>
    </row>
    <row r="134" spans="1:57" ht="15.75" customHeight="1">
      <c r="A134" s="1192"/>
      <c r="B134" s="2036"/>
      <c r="C134" s="2037"/>
      <c r="D134" s="2037"/>
      <c r="E134" s="2037"/>
      <c r="F134" s="2037"/>
      <c r="G134" s="2037"/>
      <c r="H134" s="2037"/>
      <c r="I134" s="2074" t="s">
        <v>2351</v>
      </c>
      <c r="J134" s="2074"/>
      <c r="K134" s="2074"/>
      <c r="L134" s="2074"/>
      <c r="M134" s="2074"/>
      <c r="N134" s="2074"/>
      <c r="O134" s="2074"/>
      <c r="P134" s="2074" t="s">
        <v>2350</v>
      </c>
      <c r="Q134" s="2074"/>
      <c r="R134" s="2074"/>
      <c r="S134" s="2074"/>
      <c r="T134" s="2074"/>
      <c r="U134" s="2075"/>
      <c r="V134" s="1192"/>
      <c r="W134" s="1192"/>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6"/>
    </row>
    <row r="135" spans="1:57" ht="15.75" customHeight="1">
      <c r="A135" s="1192"/>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2"/>
      <c r="W135" s="1192"/>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6"/>
    </row>
    <row r="136" spans="1:57" ht="15.75" customHeight="1">
      <c r="A136" s="1192"/>
      <c r="B136" s="2070" t="s">
        <v>2349</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2"/>
      <c r="W136" s="1192"/>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6"/>
    </row>
    <row r="137" spans="1:57" ht="15.75" customHeight="1" thickBot="1">
      <c r="A137" s="1192"/>
      <c r="B137" s="2064" t="s">
        <v>2348</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2"/>
      <c r="W137" s="1192"/>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1" t="s">
        <v>2362</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2"/>
      <c r="AZ139" s="1192"/>
      <c r="BA139" s="1192"/>
      <c r="BB139" s="1192"/>
      <c r="BC139" s="1192"/>
      <c r="BD139" s="1192"/>
      <c r="BE139" s="1196"/>
    </row>
    <row r="140" spans="1:57" ht="15.75" customHeight="1" thickBot="1">
      <c r="A140" s="1192"/>
      <c r="B140" s="2076" t="s">
        <v>2361</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2"/>
      <c r="AZ140" s="1192"/>
      <c r="BA140" s="1192"/>
      <c r="BB140" s="1192"/>
      <c r="BC140" s="1192"/>
      <c r="BD140" s="1192"/>
      <c r="BE140" s="1196"/>
    </row>
    <row r="141" spans="1:57" ht="15.75" customHeight="1">
      <c r="A141" s="1192"/>
      <c r="B141" s="2076" t="s">
        <v>2360</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2"/>
      <c r="AZ141" s="1192"/>
      <c r="BA141" s="1192"/>
      <c r="BB141" s="1192"/>
      <c r="BC141" s="1192"/>
      <c r="BD141" s="1192"/>
      <c r="BE141" s="1196"/>
    </row>
    <row r="142" spans="1:57" ht="15.75" customHeight="1">
      <c r="A142" s="1192"/>
      <c r="B142" s="2081" t="s">
        <v>2359</v>
      </c>
      <c r="C142" s="2082"/>
      <c r="D142" s="2082"/>
      <c r="E142" s="2082"/>
      <c r="F142" s="2082"/>
      <c r="G142" s="2082"/>
      <c r="H142" s="2082"/>
      <c r="I142" s="2082"/>
      <c r="J142" s="2082"/>
      <c r="K142" s="2082"/>
      <c r="L142" s="2082"/>
      <c r="M142" s="2082"/>
      <c r="N142" s="2082"/>
      <c r="O142" s="2082"/>
      <c r="P142" s="2082"/>
      <c r="Q142" s="2082"/>
      <c r="R142" s="2083" t="s">
        <v>2358</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2"/>
      <c r="AZ142" s="1192"/>
      <c r="BA142" s="1192"/>
      <c r="BB142" s="1192"/>
      <c r="BC142" s="1192" t="s">
        <v>250</v>
      </c>
      <c r="BD142" s="1192"/>
      <c r="BE142" s="1196"/>
    </row>
    <row r="143" spans="1:57" ht="15.75" customHeight="1">
      <c r="A143" s="1192"/>
      <c r="B143" s="2085" t="s">
        <v>2357</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2"/>
      <c r="AZ143" s="1192"/>
      <c r="BA143" s="1192"/>
      <c r="BB143" s="1192"/>
      <c r="BC143" s="1192"/>
      <c r="BD143" s="1192"/>
      <c r="BE143" s="1196"/>
    </row>
    <row r="144" spans="1:57" ht="15.75" customHeight="1">
      <c r="A144" s="1192"/>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2"/>
      <c r="AZ144" s="1192"/>
      <c r="BA144" s="1192"/>
      <c r="BB144" s="1192"/>
      <c r="BC144" s="1192"/>
      <c r="BD144" s="1192"/>
      <c r="BE144" s="1196"/>
    </row>
    <row r="145" spans="1:57" ht="15.75" customHeight="1">
      <c r="A145" s="1192"/>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2"/>
      <c r="AZ145" s="1192"/>
      <c r="BA145" s="1192"/>
      <c r="BB145" s="1192"/>
      <c r="BC145" s="1192"/>
      <c r="BD145" s="1192"/>
      <c r="BE145" s="1196"/>
    </row>
    <row r="146" spans="1:57" ht="15.75" customHeight="1">
      <c r="A146" s="1192"/>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2"/>
      <c r="AZ146" s="1192"/>
      <c r="BA146" s="1192"/>
      <c r="BB146" s="1192"/>
      <c r="BC146" s="1192"/>
      <c r="BD146" s="1192"/>
      <c r="BE146" s="1196"/>
    </row>
    <row r="147" spans="1:57" ht="15.75" customHeight="1">
      <c r="A147" s="1192"/>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2"/>
      <c r="AZ147" s="1192"/>
      <c r="BA147" s="1192"/>
      <c r="BB147" s="1192"/>
      <c r="BC147" s="1192"/>
      <c r="BD147" s="1192"/>
      <c r="BE147" s="1196"/>
    </row>
    <row r="148" spans="1:57" ht="15.75" customHeight="1">
      <c r="A148" s="1192"/>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2"/>
      <c r="AZ148" s="1192"/>
      <c r="BA148" s="1192"/>
      <c r="BB148" s="1192"/>
      <c r="BC148" s="1192"/>
      <c r="BD148" s="1192"/>
      <c r="BE148" s="1196"/>
    </row>
    <row r="149" spans="1:57" ht="15.75" customHeight="1">
      <c r="A149" s="1192"/>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2"/>
      <c r="AZ149" s="1192"/>
      <c r="BA149" s="1192"/>
      <c r="BB149" s="1192"/>
      <c r="BC149" s="1192"/>
      <c r="BD149" s="1192"/>
      <c r="BE149" s="1196"/>
    </row>
    <row r="150" spans="1:57" ht="15.75" customHeight="1">
      <c r="A150" s="1192"/>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2"/>
      <c r="AZ150" s="1192"/>
      <c r="BA150" s="1192"/>
      <c r="BB150" s="1192"/>
      <c r="BC150" s="1192"/>
      <c r="BD150" s="1192"/>
      <c r="BE150" s="1196"/>
    </row>
    <row r="151" spans="1:57" ht="15.75" customHeight="1">
      <c r="A151" s="1192"/>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2"/>
      <c r="AZ151" s="1192"/>
      <c r="BA151" s="1192"/>
      <c r="BB151" s="1192"/>
      <c r="BC151" s="1192"/>
      <c r="BD151" s="1192"/>
      <c r="BE151" s="1196"/>
    </row>
    <row r="152" spans="1:57" ht="15.75" customHeight="1" thickBot="1">
      <c r="A152" s="1192"/>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8" t="s">
        <v>2354</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2"/>
      <c r="W156" s="1194"/>
      <c r="X156" s="2068" t="s">
        <v>2353</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6"/>
      <c r="C157" s="2037"/>
      <c r="D157" s="2037"/>
      <c r="E157" s="2037"/>
      <c r="F157" s="2037"/>
      <c r="G157" s="2037"/>
      <c r="H157" s="2037"/>
      <c r="I157" s="2074" t="s">
        <v>2351</v>
      </c>
      <c r="J157" s="2074"/>
      <c r="K157" s="2074"/>
      <c r="L157" s="2074"/>
      <c r="M157" s="2074"/>
      <c r="N157" s="2074"/>
      <c r="O157" s="2074"/>
      <c r="P157" s="2074" t="s">
        <v>2352</v>
      </c>
      <c r="Q157" s="2074"/>
      <c r="R157" s="2074"/>
      <c r="S157" s="2074"/>
      <c r="T157" s="2074"/>
      <c r="U157" s="2075"/>
      <c r="V157" s="1192"/>
      <c r="W157" s="1192"/>
      <c r="X157" s="2036"/>
      <c r="Y157" s="2037"/>
      <c r="Z157" s="2037"/>
      <c r="AA157" s="2037"/>
      <c r="AB157" s="2037"/>
      <c r="AC157" s="2037"/>
      <c r="AD157" s="2037"/>
      <c r="AE157" s="2074" t="s">
        <v>2351</v>
      </c>
      <c r="AF157" s="2074"/>
      <c r="AG157" s="2074"/>
      <c r="AH157" s="2074"/>
      <c r="AI157" s="2074"/>
      <c r="AJ157" s="2074"/>
      <c r="AK157" s="2074"/>
      <c r="AL157" s="2074" t="s">
        <v>2350</v>
      </c>
      <c r="AM157" s="2074"/>
      <c r="AN157" s="2074"/>
      <c r="AO157" s="2074"/>
      <c r="AP157" s="2074"/>
      <c r="AQ157" s="207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2"/>
      <c r="W158" s="1192"/>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0" t="s">
        <v>2349</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2"/>
      <c r="W159" s="1192"/>
      <c r="X159" s="2064" t="s">
        <v>2349</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4" t="s">
        <v>2348</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8" t="s">
        <v>2347</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6" t="s">
        <v>2332</v>
      </c>
      <c r="D163" s="2037"/>
      <c r="E163" s="2037"/>
      <c r="F163" s="2037"/>
      <c r="G163" s="2037"/>
      <c r="H163" s="2037"/>
      <c r="I163" s="2037"/>
      <c r="J163" s="2037"/>
      <c r="K163" s="2037"/>
      <c r="L163" s="2037"/>
      <c r="M163" s="2037"/>
      <c r="N163" s="2037"/>
      <c r="O163" s="2037"/>
      <c r="P163" s="2037"/>
      <c r="Q163" s="2037" t="s">
        <v>2346</v>
      </c>
      <c r="R163" s="2037"/>
      <c r="S163" s="2037"/>
      <c r="T163" s="2069" t="s">
        <v>2345</v>
      </c>
      <c r="U163" s="2069"/>
      <c r="V163" s="2069"/>
      <c r="W163" s="2069"/>
      <c r="X163" s="2069"/>
      <c r="Y163" s="2069"/>
      <c r="Z163" s="2069"/>
      <c r="AA163" s="2069"/>
      <c r="AB163" s="2037" t="s">
        <v>2344</v>
      </c>
      <c r="AC163" s="2037"/>
      <c r="AD163" s="2037"/>
      <c r="AE163" s="2037"/>
      <c r="AF163" s="2037"/>
      <c r="AG163" s="203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1" t="s">
        <v>2343</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1" t="s">
        <v>2342</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1" t="s">
        <v>2341</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1" t="s">
        <v>2340</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1" t="s">
        <v>170</v>
      </c>
      <c r="D168" s="2052"/>
      <c r="E168" s="2052"/>
      <c r="F168" s="2053" t="s">
        <v>2321</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1" t="s">
        <v>170</v>
      </c>
      <c r="D169" s="2052"/>
      <c r="E169" s="2052"/>
      <c r="F169" s="2053" t="s">
        <v>2321</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7" t="s">
        <v>170</v>
      </c>
      <c r="D170" s="2058"/>
      <c r="E170" s="2058"/>
      <c r="F170" s="2059" t="s">
        <v>2321</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2" t="s">
        <v>2339</v>
      </c>
      <c r="D172" s="2023"/>
      <c r="E172" s="2023"/>
      <c r="F172" s="2023"/>
      <c r="G172" s="2023"/>
      <c r="H172" s="2023"/>
      <c r="I172" s="2023"/>
      <c r="J172" s="2023"/>
      <c r="K172" s="2023"/>
      <c r="L172" s="2023"/>
      <c r="M172" s="2023"/>
      <c r="N172" s="2032"/>
      <c r="O172" s="1192"/>
      <c r="P172" s="2033" t="s">
        <v>2338</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6" t="s">
        <v>2337</v>
      </c>
      <c r="D173" s="2037"/>
      <c r="E173" s="2037"/>
      <c r="F173" s="2037"/>
      <c r="G173" s="2037"/>
      <c r="H173" s="2037"/>
      <c r="I173" s="2037" t="s">
        <v>2336</v>
      </c>
      <c r="J173" s="2037"/>
      <c r="K173" s="2037"/>
      <c r="L173" s="2037"/>
      <c r="M173" s="2037"/>
      <c r="N173" s="2038"/>
      <c r="O173" s="1192"/>
      <c r="P173" s="2039" t="s">
        <v>2335</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4"/>
      <c r="D174" s="1985"/>
      <c r="E174" s="1985"/>
      <c r="F174" s="1985"/>
      <c r="G174" s="1985"/>
      <c r="H174" s="1985"/>
      <c r="I174" s="2045"/>
      <c r="J174" s="2045"/>
      <c r="K174" s="2045"/>
      <c r="L174" s="2045"/>
      <c r="M174" s="2045"/>
      <c r="N174" s="2046"/>
      <c r="O174" s="1192"/>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4"/>
      <c r="D175" s="1985"/>
      <c r="E175" s="1985"/>
      <c r="F175" s="1985"/>
      <c r="G175" s="1985"/>
      <c r="H175" s="1985"/>
      <c r="I175" s="2045"/>
      <c r="J175" s="2045"/>
      <c r="K175" s="2045"/>
      <c r="L175" s="2045"/>
      <c r="M175" s="2045"/>
      <c r="N175" s="2046"/>
      <c r="O175" s="1192"/>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4"/>
      <c r="D176" s="1985"/>
      <c r="E176" s="1985"/>
      <c r="F176" s="1985"/>
      <c r="G176" s="1985"/>
      <c r="H176" s="1985"/>
      <c r="I176" s="2045"/>
      <c r="J176" s="2045"/>
      <c r="K176" s="2045"/>
      <c r="L176" s="2045"/>
      <c r="M176" s="2045"/>
      <c r="N176" s="2046"/>
      <c r="O176" s="1192"/>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4"/>
      <c r="D177" s="1985"/>
      <c r="E177" s="1985"/>
      <c r="F177" s="1985"/>
      <c r="G177" s="1985"/>
      <c r="H177" s="1985"/>
      <c r="I177" s="2045"/>
      <c r="J177" s="2045"/>
      <c r="K177" s="2045"/>
      <c r="L177" s="2045"/>
      <c r="M177" s="2045"/>
      <c r="N177" s="2046"/>
      <c r="O177" s="1192"/>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4"/>
      <c r="D178" s="1985"/>
      <c r="E178" s="1985"/>
      <c r="F178" s="1985"/>
      <c r="G178" s="1985"/>
      <c r="H178" s="1985"/>
      <c r="I178" s="2045"/>
      <c r="J178" s="2045"/>
      <c r="K178" s="2045"/>
      <c r="L178" s="2045"/>
      <c r="M178" s="2045"/>
      <c r="N178" s="2046"/>
      <c r="O178" s="1192"/>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4"/>
      <c r="D179" s="1985"/>
      <c r="E179" s="1985"/>
      <c r="F179" s="1985"/>
      <c r="G179" s="1985"/>
      <c r="H179" s="1985"/>
      <c r="I179" s="2045"/>
      <c r="J179" s="2045"/>
      <c r="K179" s="2045"/>
      <c r="L179" s="2045"/>
      <c r="M179" s="2045"/>
      <c r="N179" s="2046"/>
      <c r="O179" s="1192"/>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7"/>
      <c r="D180" s="2048"/>
      <c r="E180" s="2048"/>
      <c r="F180" s="2048"/>
      <c r="G180" s="2048"/>
      <c r="H180" s="2048"/>
      <c r="I180" s="2049"/>
      <c r="J180" s="2049"/>
      <c r="K180" s="2049"/>
      <c r="L180" s="2049"/>
      <c r="M180" s="2049"/>
      <c r="N180" s="2050"/>
      <c r="O180" s="1192"/>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3" t="s">
        <v>2334</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2"/>
      <c r="AG182" s="1192"/>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2"/>
      <c r="B183" s="1192"/>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2"/>
      <c r="AG183" s="1192"/>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2"/>
      <c r="B184" s="1192"/>
      <c r="C184" s="2022" t="s">
        <v>2332</v>
      </c>
      <c r="D184" s="2023"/>
      <c r="E184" s="2023"/>
      <c r="F184" s="2023"/>
      <c r="G184" s="2023"/>
      <c r="H184" s="2023"/>
      <c r="I184" s="2023"/>
      <c r="J184" s="2023"/>
      <c r="K184" s="2023"/>
      <c r="L184" s="2023"/>
      <c r="M184" s="2023"/>
      <c r="N184" s="2023" t="s">
        <v>2333</v>
      </c>
      <c r="O184" s="2023"/>
      <c r="P184" s="2023"/>
      <c r="Q184" s="2023"/>
      <c r="R184" s="2023"/>
      <c r="S184" s="2023"/>
      <c r="T184" s="2023"/>
      <c r="U184" s="2024" t="s">
        <v>2332</v>
      </c>
      <c r="V184" s="2024"/>
      <c r="W184" s="2024"/>
      <c r="X184" s="2024"/>
      <c r="Y184" s="2024"/>
      <c r="Z184" s="2024"/>
      <c r="AA184" s="2024"/>
      <c r="AB184" s="2024"/>
      <c r="AC184" s="2024"/>
      <c r="AD184" s="2024"/>
      <c r="AE184" s="2025"/>
      <c r="AF184" s="1192"/>
      <c r="AG184" s="1192"/>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2"/>
      <c r="B185" s="1192"/>
      <c r="C185" s="2001" t="s">
        <v>2331</v>
      </c>
      <c r="D185" s="2002"/>
      <c r="E185" s="2002"/>
      <c r="F185" s="2002"/>
      <c r="G185" s="2002"/>
      <c r="H185" s="2002"/>
      <c r="I185" s="2002"/>
      <c r="J185" s="2002"/>
      <c r="K185" s="2002"/>
      <c r="L185" s="2002"/>
      <c r="M185" s="2002"/>
      <c r="N185" s="2012">
        <f ca="1">'Sources and Uses Budget'!B105</f>
        <v>100403334</v>
      </c>
      <c r="O185" s="2012"/>
      <c r="P185" s="2012"/>
      <c r="Q185" s="2012"/>
      <c r="R185" s="2012"/>
      <c r="S185" s="2012"/>
      <c r="T185" s="2012"/>
      <c r="U185" s="2026"/>
      <c r="V185" s="2026"/>
      <c r="W185" s="2026"/>
      <c r="X185" s="2026"/>
      <c r="Y185" s="2026"/>
      <c r="Z185" s="2026"/>
      <c r="AA185" s="2026"/>
      <c r="AB185" s="2026"/>
      <c r="AC185" s="2026"/>
      <c r="AD185" s="2026"/>
      <c r="AE185" s="2027"/>
      <c r="AF185" s="1192"/>
      <c r="AG185" s="1192"/>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2"/>
      <c r="B186" s="1192"/>
      <c r="C186" s="2001" t="s">
        <v>2330</v>
      </c>
      <c r="D186" s="2002"/>
      <c r="E186" s="2002"/>
      <c r="F186" s="2002"/>
      <c r="G186" s="2002"/>
      <c r="H186" s="2002"/>
      <c r="I186" s="2002"/>
      <c r="J186" s="2002"/>
      <c r="K186" s="2002"/>
      <c r="L186" s="2002"/>
      <c r="M186" s="2002"/>
      <c r="N186" s="2012">
        <f ca="1">N185/J29</f>
        <v>843725.49579831935</v>
      </c>
      <c r="O186" s="2012"/>
      <c r="P186" s="2012"/>
      <c r="Q186" s="2012"/>
      <c r="R186" s="2012"/>
      <c r="S186" s="2012"/>
      <c r="T186" s="2012"/>
      <c r="U186" s="1232"/>
      <c r="V186" s="1232"/>
      <c r="W186" s="1232"/>
      <c r="X186" s="1232"/>
      <c r="Y186" s="1232"/>
      <c r="Z186" s="1232"/>
      <c r="AA186" s="1232"/>
      <c r="AB186" s="1232"/>
      <c r="AC186" s="1232"/>
      <c r="AD186" s="1232"/>
      <c r="AE186" s="1233"/>
      <c r="AF186" s="1192"/>
      <c r="AG186" s="1192"/>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2"/>
      <c r="B187" s="1192"/>
      <c r="C187" s="2028" t="s">
        <v>2329</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2"/>
      <c r="AG187" s="1192"/>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2"/>
      <c r="B188" s="1192"/>
      <c r="C188" s="2001" t="s">
        <v>2328</v>
      </c>
      <c r="D188" s="2002"/>
      <c r="E188" s="2002"/>
      <c r="F188" s="2002"/>
      <c r="G188" s="2002"/>
      <c r="H188" s="2002"/>
      <c r="I188" s="2002"/>
      <c r="J188" s="2002"/>
      <c r="K188" s="2002"/>
      <c r="L188" s="2002"/>
      <c r="M188" s="2002"/>
      <c r="N188" s="2031">
        <f>SUM('Sources and Uses Budget'!B85:B86)</f>
        <v>5891325</v>
      </c>
      <c r="O188" s="2031"/>
      <c r="P188" s="2031"/>
      <c r="Q188" s="2031"/>
      <c r="R188" s="2031"/>
      <c r="S188" s="2031"/>
      <c r="T188" s="2031"/>
      <c r="U188" s="1988"/>
      <c r="V188" s="1988"/>
      <c r="W188" s="1988"/>
      <c r="X188" s="1988"/>
      <c r="Y188" s="1988"/>
      <c r="Z188" s="1988"/>
      <c r="AA188" s="1988"/>
      <c r="AB188" s="1988"/>
      <c r="AC188" s="1988"/>
      <c r="AD188" s="1988"/>
      <c r="AE188" s="1989"/>
      <c r="AF188" s="1192"/>
      <c r="AG188" s="1192"/>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2"/>
      <c r="B189" s="1192"/>
      <c r="C189" s="2001" t="s">
        <v>2327</v>
      </c>
      <c r="D189" s="2002"/>
      <c r="E189" s="2002"/>
      <c r="F189" s="2002"/>
      <c r="G189" s="2002"/>
      <c r="H189" s="2002"/>
      <c r="I189" s="2002"/>
      <c r="J189" s="2002"/>
      <c r="K189" s="2002"/>
      <c r="L189" s="2002"/>
      <c r="M189" s="2002"/>
      <c r="N189" s="2031">
        <f>'Sources and Uses Budget'!B8</f>
        <v>6637689</v>
      </c>
      <c r="O189" s="2031"/>
      <c r="P189" s="2031"/>
      <c r="Q189" s="2031"/>
      <c r="R189" s="2031"/>
      <c r="S189" s="2031"/>
      <c r="T189" s="2031"/>
      <c r="U189" s="1988"/>
      <c r="V189" s="1988"/>
      <c r="W189" s="1988"/>
      <c r="X189" s="1988"/>
      <c r="Y189" s="1988"/>
      <c r="Z189" s="1988"/>
      <c r="AA189" s="1988"/>
      <c r="AB189" s="1988"/>
      <c r="AC189" s="1988"/>
      <c r="AD189" s="1988"/>
      <c r="AE189" s="1989"/>
      <c r="AF189" s="1192"/>
      <c r="AG189" s="1192"/>
      <c r="AH189" s="1998" t="s">
        <v>2325</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2"/>
      <c r="B190" s="1192"/>
      <c r="C190" s="2001" t="s">
        <v>2326</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2"/>
      <c r="AG190" s="1192"/>
      <c r="AH190" s="2003" t="s">
        <v>2325</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2"/>
      <c r="B191" s="1192"/>
      <c r="C191" s="2001" t="s">
        <v>2324</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2"/>
      <c r="AG191" s="1192"/>
      <c r="AH191" s="2019" t="s">
        <v>2323</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2"/>
      <c r="B192" s="1192"/>
      <c r="C192" s="1993" t="s">
        <v>300</v>
      </c>
      <c r="D192" s="1994"/>
      <c r="E192" s="1986" t="s">
        <v>2321</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2"/>
      <c r="AG192" s="1192"/>
      <c r="AH192" s="1995" t="s">
        <v>2322</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2"/>
      <c r="B193" s="1192"/>
      <c r="C193" s="1984" t="s">
        <v>300</v>
      </c>
      <c r="D193" s="1985"/>
      <c r="E193" s="1986" t="s">
        <v>2321</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0"/>
      <c r="BD193" s="1991"/>
      <c r="BE193" s="1992"/>
    </row>
    <row r="194" spans="1:57" ht="15.75" customHeight="1" thickBot="1">
      <c r="A194" s="1192"/>
      <c r="B194" s="1192"/>
      <c r="C194" s="1972" t="s">
        <v>300</v>
      </c>
      <c r="D194" s="1973"/>
      <c r="E194" s="1974" t="s">
        <v>2321</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2"/>
      <c r="AG194" s="1192"/>
      <c r="AH194" s="1981" t="s">
        <v>2320</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3"/>
      <c r="BD194" s="1173"/>
      <c r="BE194" s="1236"/>
    </row>
    <row r="195" spans="1:57" ht="15.75" customHeight="1">
      <c r="A195" s="1192"/>
      <c r="B195" s="1192"/>
      <c r="C195" s="1955" t="s">
        <v>2319</v>
      </c>
      <c r="D195" s="1956"/>
      <c r="E195" s="1956"/>
      <c r="F195" s="1956"/>
      <c r="G195" s="1956"/>
      <c r="H195" s="1956"/>
      <c r="I195" s="1956"/>
      <c r="J195" s="1956"/>
      <c r="K195" s="1956"/>
      <c r="L195" s="1956"/>
      <c r="M195" s="1956"/>
      <c r="N195" s="1957">
        <f>SUM(N187:T194)</f>
        <v>12529014</v>
      </c>
      <c r="O195" s="1957"/>
      <c r="P195" s="1957"/>
      <c r="Q195" s="1957"/>
      <c r="R195" s="1957"/>
      <c r="S195" s="1957"/>
      <c r="T195" s="1958"/>
      <c r="U195" s="1192"/>
      <c r="V195" s="1192"/>
      <c r="W195" s="1192"/>
      <c r="X195" s="1192"/>
      <c r="Y195" s="1192"/>
      <c r="Z195" s="1192"/>
      <c r="AA195" s="1192"/>
      <c r="AB195" s="1192"/>
      <c r="AC195" s="1192"/>
      <c r="AD195" s="1192"/>
      <c r="AE195" s="1192"/>
      <c r="AF195" s="1192"/>
      <c r="AG195" s="1192"/>
      <c r="AH195" s="1959" t="s">
        <v>2318</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2"/>
      <c r="B196" s="1192"/>
      <c r="C196" s="1965" t="s">
        <v>2317</v>
      </c>
      <c r="D196" s="1966"/>
      <c r="E196" s="1966"/>
      <c r="F196" s="1966"/>
      <c r="G196" s="1966"/>
      <c r="H196" s="1966"/>
      <c r="I196" s="1966"/>
      <c r="J196" s="1966"/>
      <c r="K196" s="1966"/>
      <c r="L196" s="1966"/>
      <c r="M196" s="1966"/>
      <c r="N196" s="1967">
        <f ca="1">(N185-N195)/J29</f>
        <v>738439.66386554623</v>
      </c>
      <c r="O196" s="1968"/>
      <c r="P196" s="1968"/>
      <c r="Q196" s="1968"/>
      <c r="R196" s="1968"/>
      <c r="S196" s="1968"/>
      <c r="T196" s="1969"/>
      <c r="U196" s="1197"/>
      <c r="V196" s="1192"/>
      <c r="W196" s="1192"/>
      <c r="X196" s="1192"/>
      <c r="Y196" s="1192"/>
      <c r="Z196" s="1192"/>
      <c r="AA196" s="1192"/>
      <c r="AB196" s="1192"/>
      <c r="AC196" s="1192"/>
      <c r="AD196" s="1192"/>
      <c r="AE196" s="1192"/>
      <c r="AF196" s="1192"/>
      <c r="AG196" s="1192"/>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0" t="s">
        <v>2316</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3" t="s">
        <v>2315</v>
      </c>
      <c r="D200" s="1953"/>
      <c r="E200" s="1953"/>
      <c r="F200" s="1953"/>
      <c r="G200" s="1953"/>
      <c r="H200" s="1953"/>
      <c r="I200" s="1953"/>
      <c r="J200" s="1953"/>
      <c r="K200" s="1953"/>
      <c r="L200" s="1953"/>
      <c r="M200" s="1953"/>
      <c r="N200" s="1953"/>
      <c r="O200" s="1954" t="s">
        <v>2314</v>
      </c>
      <c r="P200" s="1954"/>
      <c r="Q200" s="1954"/>
      <c r="R200" s="1954"/>
      <c r="S200" s="1954"/>
      <c r="T200" s="1954"/>
      <c r="U200" s="1954"/>
      <c r="V200" s="1954"/>
      <c r="W200" s="1954"/>
      <c r="X200" s="1954" t="s">
        <v>2313</v>
      </c>
      <c r="Y200" s="1954"/>
      <c r="Z200" s="1954"/>
      <c r="AA200" s="1954"/>
      <c r="AB200" s="1954"/>
      <c r="AC200" s="1954"/>
      <c r="AD200" s="1954"/>
      <c r="AE200" s="19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5" t="s">
        <v>2312</v>
      </c>
      <c r="D201" s="1945"/>
      <c r="E201" s="1945"/>
      <c r="F201" s="1945"/>
      <c r="G201" s="1945"/>
      <c r="H201" s="1945"/>
      <c r="I201" s="1945"/>
      <c r="J201" s="1945"/>
      <c r="K201" s="1945"/>
      <c r="L201" s="1945"/>
      <c r="M201" s="1945"/>
      <c r="N201" s="1945"/>
      <c r="O201" s="1946" t="s">
        <v>2311</v>
      </c>
      <c r="P201" s="1946"/>
      <c r="Q201" s="1946"/>
      <c r="R201" s="1946"/>
      <c r="S201" s="1946"/>
      <c r="T201" s="1946"/>
      <c r="U201" s="1946"/>
      <c r="V201" s="1946"/>
      <c r="W201" s="1946"/>
      <c r="X201" s="1947">
        <v>0.03</v>
      </c>
      <c r="Y201" s="1947"/>
      <c r="Z201" s="1947"/>
      <c r="AA201" s="1947"/>
      <c r="AB201" s="1947"/>
      <c r="AC201" s="1947"/>
      <c r="AD201" s="1947"/>
      <c r="AE201" s="19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5" t="s">
        <v>855</v>
      </c>
      <c r="D202" s="1945"/>
      <c r="E202" s="1945"/>
      <c r="F202" s="1945"/>
      <c r="G202" s="1945"/>
      <c r="H202" s="1945"/>
      <c r="I202" s="1945"/>
      <c r="J202" s="1945"/>
      <c r="K202" s="1945"/>
      <c r="L202" s="1945"/>
      <c r="M202" s="1945"/>
      <c r="N202" s="1945"/>
      <c r="O202" s="1946" t="s">
        <v>2311</v>
      </c>
      <c r="P202" s="1946"/>
      <c r="Q202" s="1946"/>
      <c r="R202" s="1946"/>
      <c r="S202" s="1946"/>
      <c r="T202" s="1946"/>
      <c r="U202" s="1946"/>
      <c r="V202" s="1946"/>
      <c r="W202" s="1946"/>
      <c r="X202" s="1947">
        <v>0.03</v>
      </c>
      <c r="Y202" s="1947"/>
      <c r="Z202" s="1947"/>
      <c r="AA202" s="1947"/>
      <c r="AB202" s="1947"/>
      <c r="AC202" s="1947"/>
      <c r="AD202" s="1947"/>
      <c r="AE202" s="19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5" t="s">
        <v>2310</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2309</v>
      </c>
      <c r="Y203" s="1949"/>
      <c r="Z203" s="1949"/>
      <c r="AA203" s="1949"/>
      <c r="AB203" s="1949"/>
      <c r="AC203" s="1949"/>
      <c r="AD203" s="1949"/>
      <c r="AE203" s="19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9" t="s">
        <v>2308</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0" t="s">
        <v>2307</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3" t="s">
        <v>2306</v>
      </c>
      <c r="D207" s="1924"/>
      <c r="E207" s="1924"/>
      <c r="F207" s="1925"/>
      <c r="G207" s="1929" t="s">
        <v>2305</v>
      </c>
      <c r="H207" s="1924"/>
      <c r="I207" s="1924"/>
      <c r="J207" s="1924"/>
      <c r="K207" s="1924"/>
      <c r="L207" s="1924"/>
      <c r="M207" s="1924"/>
      <c r="N207" s="1924"/>
      <c r="O207" s="1925"/>
      <c r="P207" s="1931" t="s">
        <v>2304</v>
      </c>
      <c r="Q207" s="1932"/>
      <c r="R207" s="1932"/>
      <c r="S207" s="1932"/>
      <c r="T207" s="1933"/>
      <c r="U207" s="1937" t="s">
        <v>2303</v>
      </c>
      <c r="V207" s="1938"/>
      <c r="W207" s="1938"/>
      <c r="X207" s="1939"/>
      <c r="Y207" s="1937" t="s">
        <v>2302</v>
      </c>
      <c r="Z207" s="1938"/>
      <c r="AA207" s="1938"/>
      <c r="AB207" s="1939"/>
      <c r="AC207" s="1937" t="s">
        <v>2301</v>
      </c>
      <c r="AD207" s="1938"/>
      <c r="AE207" s="1938"/>
      <c r="AF207" s="1939"/>
      <c r="AG207" s="1929" t="s">
        <v>2300</v>
      </c>
      <c r="AH207" s="1924"/>
      <c r="AI207" s="1924"/>
      <c r="AJ207" s="1924"/>
      <c r="AK207" s="194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4" t="s">
        <v>2299</v>
      </c>
      <c r="D216" s="1905"/>
      <c r="E216" s="1905"/>
      <c r="F216" s="1905"/>
      <c r="G216" s="1905"/>
      <c r="H216" s="1905"/>
      <c r="I216" s="1905"/>
      <c r="J216" s="1905"/>
      <c r="K216" s="1905"/>
      <c r="L216" s="1905"/>
      <c r="M216" s="1905"/>
      <c r="N216" s="1905"/>
      <c r="O216" s="1905"/>
      <c r="P216" s="1906"/>
      <c r="Q216" s="1906"/>
      <c r="R216" s="1906"/>
      <c r="S216" s="1906"/>
      <c r="T216" s="1906"/>
      <c r="U216" s="1907">
        <v>0</v>
      </c>
      <c r="V216" s="1907"/>
      <c r="W216" s="1907"/>
      <c r="X216" s="1907"/>
      <c r="Y216" s="1907">
        <v>0</v>
      </c>
      <c r="Z216" s="1907"/>
      <c r="AA216" s="1907"/>
      <c r="AB216" s="1907"/>
      <c r="AC216" s="1908">
        <v>0</v>
      </c>
      <c r="AD216" s="1908"/>
      <c r="AE216" s="1908"/>
      <c r="AF216" s="1908"/>
      <c r="AG216" s="1909"/>
      <c r="AH216" s="1910"/>
      <c r="AI216" s="1910"/>
      <c r="AJ216" s="1910"/>
      <c r="AK216" s="19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8" t="s">
        <v>2297</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6"/>
    </row>
    <row r="222" spans="1:57" ht="15.75" customHeight="1">
      <c r="A222" s="1192"/>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6"/>
    </row>
    <row r="223" spans="1:57" ht="15.75" customHeight="1">
      <c r="A223" s="1192"/>
      <c r="B223" s="1894" t="s">
        <v>2296</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6"/>
    </row>
    <row r="224" spans="1:57" ht="15.75" customHeight="1">
      <c r="A224" s="1192"/>
      <c r="B224" s="1894" t="s">
        <v>2295</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7" t="s">
        <v>2294</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0" t="s">
        <v>2292</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3" t="s">
        <v>2291</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2"/>
      <c r="BB232" s="1192"/>
      <c r="BC232" s="1192"/>
      <c r="BD232" s="1196"/>
      <c r="BE232" s="1196"/>
    </row>
    <row r="233" spans="1:57" ht="15.75" customHeight="1">
      <c r="A233" s="1192"/>
      <c r="B233" s="1191"/>
      <c r="C233" s="1192"/>
      <c r="D233" s="1192"/>
      <c r="E233" s="1192"/>
      <c r="F233" s="1192"/>
      <c r="G233" s="1192"/>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2"/>
      <c r="BB233" s="1192"/>
      <c r="BC233" s="1192"/>
      <c r="BD233" s="1196"/>
      <c r="BE233" s="1196"/>
    </row>
    <row r="234" spans="1:57" ht="15.75" customHeight="1">
      <c r="A234" s="1192"/>
      <c r="B234" s="1191"/>
      <c r="C234" s="1192"/>
      <c r="D234" s="1192"/>
      <c r="E234" s="1192"/>
      <c r="F234" s="1192"/>
      <c r="G234" s="1192"/>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2"/>
      <c r="BB234" s="1192"/>
      <c r="BC234" s="1192"/>
      <c r="BD234" s="1196"/>
      <c r="BE234" s="1196"/>
    </row>
    <row r="235" spans="1:57" ht="15.75" customHeight="1">
      <c r="A235" s="1192"/>
      <c r="B235" s="1191"/>
      <c r="C235" s="1192"/>
      <c r="D235" s="1192"/>
      <c r="E235" s="1192"/>
      <c r="F235" s="1192"/>
      <c r="G235" s="1192"/>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4" t="s">
        <v>2290</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4" t="s">
        <v>2289</v>
      </c>
      <c r="I239" s="1874"/>
      <c r="J239" s="1874"/>
      <c r="K239" s="1874"/>
      <c r="L239" s="1243"/>
      <c r="M239" s="1243"/>
      <c r="N239" s="1243"/>
      <c r="O239" s="1243"/>
      <c r="P239" s="1243"/>
      <c r="Q239" s="1243"/>
      <c r="R239" s="1243"/>
      <c r="S239" s="1885"/>
      <c r="T239" s="1886"/>
      <c r="U239" s="1886"/>
      <c r="V239" s="1886"/>
      <c r="W239" s="1886"/>
      <c r="X239" s="1886"/>
      <c r="Y239" s="1886"/>
      <c r="Z239" s="1886"/>
      <c r="AA239" s="1886"/>
      <c r="AB239" s="1886"/>
      <c r="AC239" s="1886"/>
      <c r="AD239" s="1886"/>
      <c r="AE239" s="1886"/>
      <c r="AF239" s="1886"/>
      <c r="AG239" s="1886"/>
      <c r="AH239" s="1886"/>
      <c r="AI239" s="1886"/>
      <c r="AJ239" s="188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4" t="s">
        <v>2288</v>
      </c>
      <c r="I241" s="1874"/>
      <c r="J241" s="1874"/>
      <c r="K241" s="1245"/>
      <c r="L241" s="1243"/>
      <c r="M241" s="1243"/>
      <c r="N241" s="1243"/>
      <c r="O241" s="1243"/>
      <c r="P241" s="1243"/>
      <c r="Q241" s="1243"/>
      <c r="R241" s="1243"/>
      <c r="S241" s="1875"/>
      <c r="T241" s="1876"/>
      <c r="U241" s="1876"/>
      <c r="V241" s="1876"/>
      <c r="W241" s="1876"/>
      <c r="X241" s="1876"/>
      <c r="Y241" s="1876"/>
      <c r="Z241" s="1876"/>
      <c r="AA241" s="1876"/>
      <c r="AB241" s="1876"/>
      <c r="AC241" s="1876"/>
      <c r="AD241" s="1876"/>
      <c r="AE241" s="1876"/>
      <c r="AF241" s="1876"/>
      <c r="AG241" s="1876"/>
      <c r="AH241" s="1876"/>
      <c r="AI241" s="1876"/>
      <c r="AJ241" s="187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4" t="s">
        <v>442</v>
      </c>
      <c r="I243" s="1874"/>
      <c r="J243" s="1245"/>
      <c r="K243" s="1245"/>
      <c r="L243" s="1243"/>
      <c r="M243" s="1243"/>
      <c r="N243" s="1243"/>
      <c r="O243" s="1243"/>
      <c r="P243" s="1243"/>
      <c r="Q243" s="1243"/>
      <c r="R243" s="1243"/>
      <c r="S243" s="1875"/>
      <c r="T243" s="1876"/>
      <c r="U243" s="1876"/>
      <c r="V243" s="1876"/>
      <c r="W243" s="1876"/>
      <c r="X243" s="1876"/>
      <c r="Y243" s="1876"/>
      <c r="Z243" s="1876"/>
      <c r="AA243" s="1876"/>
      <c r="AB243" s="1876"/>
      <c r="AC243" s="1876"/>
      <c r="AD243" s="1876"/>
      <c r="AE243" s="1876"/>
      <c r="AF243" s="1876"/>
      <c r="AG243" s="1876"/>
      <c r="AH243" s="1876"/>
      <c r="AI243" s="1876"/>
      <c r="AJ243" s="187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8" t="s">
        <v>2287</v>
      </c>
      <c r="I245" s="1878"/>
      <c r="J245" s="1878"/>
      <c r="K245" s="1878"/>
      <c r="L245" s="1878"/>
      <c r="M245" s="1878"/>
      <c r="N245" s="1878"/>
      <c r="O245" s="1878"/>
      <c r="P245" s="1243"/>
      <c r="Q245" s="1243"/>
      <c r="R245" s="1243"/>
      <c r="S245" s="1875"/>
      <c r="T245" s="1876"/>
      <c r="U245" s="1876"/>
      <c r="V245" s="1876"/>
      <c r="W245" s="1876"/>
      <c r="X245" s="1876"/>
      <c r="Y245" s="1876"/>
      <c r="Z245" s="1876"/>
      <c r="AA245" s="1876"/>
      <c r="AB245" s="1876"/>
      <c r="AC245" s="1876"/>
      <c r="AD245" s="1876"/>
      <c r="AE245" s="1876"/>
      <c r="AF245" s="1876"/>
      <c r="AG245" s="1876"/>
      <c r="AH245" s="1876"/>
      <c r="AI245" s="1876"/>
      <c r="AJ245" s="187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9" t="s">
        <v>2286</v>
      </c>
      <c r="I247" s="1879"/>
      <c r="J247" s="1243"/>
      <c r="K247" s="1243"/>
      <c r="L247" s="1243"/>
      <c r="M247" s="1243"/>
      <c r="N247" s="1243"/>
      <c r="O247" s="1243"/>
      <c r="P247" s="1243"/>
      <c r="Q247" s="1243"/>
      <c r="R247" s="1243"/>
      <c r="S247" s="1880"/>
      <c r="T247" s="1881"/>
      <c r="U247" s="1881"/>
      <c r="V247" s="1881"/>
      <c r="W247" s="1881"/>
      <c r="X247" s="1881"/>
      <c r="Y247" s="1881"/>
      <c r="Z247" s="1881"/>
      <c r="AA247" s="1881"/>
      <c r="AB247" s="1881"/>
      <c r="AC247" s="1881"/>
      <c r="AD247" s="1881"/>
      <c r="AE247" s="1881"/>
      <c r="AF247" s="1881"/>
      <c r="AG247" s="1881"/>
      <c r="AH247" s="1881"/>
      <c r="AI247" s="1881"/>
      <c r="AJ247" s="188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0" sqref="AB50:AF5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5" t="s">
        <v>1281</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8"/>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8"/>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9"/>
      <c r="C10" s="410"/>
      <c r="D10" s="410"/>
      <c r="E10" s="410"/>
      <c r="F10" s="410"/>
      <c r="G10" s="410"/>
      <c r="H10" s="410"/>
      <c r="I10" s="410"/>
      <c r="J10" s="410"/>
      <c r="K10" s="410"/>
      <c r="L10" s="410"/>
      <c r="M10" s="410"/>
      <c r="N10" s="410"/>
      <c r="O10" s="410"/>
      <c r="P10" s="410"/>
      <c r="Q10" s="410"/>
      <c r="R10" s="410"/>
      <c r="S10" s="410"/>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375</v>
      </c>
      <c r="C11" s="2342"/>
      <c r="D11" s="2342"/>
      <c r="E11" s="2342"/>
      <c r="F11" s="2342"/>
      <c r="G11" s="2342"/>
      <c r="H11" s="2342"/>
      <c r="I11" s="2342"/>
      <c r="J11" s="2342"/>
      <c r="K11" s="2342"/>
      <c r="L11" s="2342"/>
      <c r="M11" s="2342"/>
      <c r="N11" s="2342"/>
      <c r="O11" s="2342"/>
      <c r="P11" s="2342"/>
      <c r="Q11" s="2342"/>
      <c r="R11" s="2342"/>
      <c r="S11" s="2343"/>
      <c r="T11" s="2377">
        <f ca="1">IF('Sources and Basis Breakdown'!F107=0,'Sources and Basis Breakdown'!E107,'Sources and Basis Breakdown'!F107)</f>
        <v>87625969</v>
      </c>
      <c r="U11" s="2378"/>
      <c r="V11" s="2378"/>
      <c r="W11" s="2378"/>
      <c r="X11" s="2378"/>
      <c r="Y11" s="2377">
        <f ca="1">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498</v>
      </c>
      <c r="C12" s="1309"/>
      <c r="D12" s="1309"/>
      <c r="E12" s="1309"/>
      <c r="F12" s="1309"/>
      <c r="G12" s="1309"/>
      <c r="H12" s="1309"/>
      <c r="I12" s="1309"/>
      <c r="J12" s="1309"/>
      <c r="K12" s="1309"/>
      <c r="L12" s="1309"/>
      <c r="M12" s="1309"/>
      <c r="N12" s="1309"/>
      <c r="O12" s="1309"/>
      <c r="P12" s="1309"/>
      <c r="Q12" s="1309"/>
      <c r="R12" s="1309"/>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6"/>
      <c r="C13" s="2381" t="s">
        <v>499</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6"/>
      <c r="C14" s="2381" t="s">
        <v>500</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6"/>
      <c r="C15" s="2381" t="s">
        <v>501</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6"/>
      <c r="C16" s="2381" t="s">
        <v>806</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6"/>
      <c r="C17" s="2381" t="s">
        <v>502</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52"/>
      <c r="C18" s="1564" t="s">
        <v>961</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52"/>
      <c r="C19" s="1564" t="s">
        <v>961</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503</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1264</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504</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505</v>
      </c>
      <c r="C23" s="2342"/>
      <c r="D23" s="2342"/>
      <c r="E23" s="2342"/>
      <c r="F23" s="2342"/>
      <c r="G23" s="2342"/>
      <c r="H23" s="2342"/>
      <c r="I23" s="2342"/>
      <c r="J23" s="2342"/>
      <c r="K23" s="2342"/>
      <c r="L23" s="2342"/>
      <c r="M23" s="2342"/>
      <c r="N23" s="2342"/>
      <c r="O23" s="2342"/>
      <c r="P23" s="2342"/>
      <c r="Q23" s="2342"/>
      <c r="R23" s="2342"/>
      <c r="S23" s="2343"/>
      <c r="T23" s="2354">
        <f ca="1">T11+T22</f>
        <v>87625969</v>
      </c>
      <c r="U23" s="2335"/>
      <c r="V23" s="2335"/>
      <c r="W23" s="2335"/>
      <c r="X23" s="2335"/>
      <c r="Y23" s="2354">
        <f ca="1">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962</v>
      </c>
      <c r="C24" s="2342"/>
      <c r="D24" s="2342"/>
      <c r="E24" s="2342"/>
      <c r="F24" s="2342"/>
      <c r="G24" s="2342"/>
      <c r="H24" s="2342"/>
      <c r="I24" s="2342"/>
      <c r="J24" s="2342"/>
      <c r="K24" s="2342"/>
      <c r="L24" s="2342"/>
      <c r="M24" s="2342"/>
      <c r="N24" s="2342"/>
      <c r="O24" s="2342"/>
      <c r="P24" s="2342"/>
      <c r="Q24" s="2342"/>
      <c r="R24" s="2342"/>
      <c r="S24" s="2343"/>
      <c r="T24" s="2345">
        <f>Application!AJ1053</f>
        <v>175600621</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1265</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506</v>
      </c>
      <c r="C26" s="2342"/>
      <c r="D26" s="2342"/>
      <c r="E26" s="2342"/>
      <c r="F26" s="2342"/>
      <c r="G26" s="2342"/>
      <c r="H26" s="2342"/>
      <c r="I26" s="2342"/>
      <c r="J26" s="2342"/>
      <c r="K26" s="2342"/>
      <c r="L26" s="2342"/>
      <c r="M26" s="2342"/>
      <c r="N26" s="2342"/>
      <c r="O26" s="2342"/>
      <c r="P26" s="2342"/>
      <c r="Q26" s="2342"/>
      <c r="R26" s="2342"/>
      <c r="S26" s="2343"/>
      <c r="T26" s="2354">
        <f ca="1">T23*T25</f>
        <v>113913759.7</v>
      </c>
      <c r="U26" s="2335"/>
      <c r="V26" s="2335"/>
      <c r="W26" s="2335"/>
      <c r="X26" s="2335"/>
      <c r="Y26" s="2354">
        <f ca="1">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1"/>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3"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54">
        <f ca="1">IF(ISERROR((T26*T27)),0,(T26*T27))</f>
        <v>113913759.7</v>
      </c>
      <c r="U28" s="2335"/>
      <c r="V28" s="2335"/>
      <c r="W28" s="2335"/>
      <c r="X28" s="2335"/>
      <c r="Y28" s="2354">
        <f ca="1">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524</v>
      </c>
      <c r="C29" s="2342"/>
      <c r="D29" s="2342"/>
      <c r="E29" s="2342"/>
      <c r="F29" s="2342"/>
      <c r="G29" s="2342"/>
      <c r="H29" s="2342"/>
      <c r="I29" s="2342"/>
      <c r="J29" s="2342"/>
      <c r="K29" s="2342"/>
      <c r="L29" s="2342"/>
      <c r="M29" s="2342"/>
      <c r="N29" s="2342"/>
      <c r="O29" s="2342"/>
      <c r="P29" s="2342"/>
      <c r="Q29" s="2342"/>
      <c r="R29" s="2342"/>
      <c r="S29" s="2343"/>
      <c r="T29" s="2345">
        <f ca="1">T28+Y28+AD28+AI28</f>
        <v>113913759.7</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1267</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1266</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5" t="s">
        <v>1155</v>
      </c>
      <c r="Z35" s="2355"/>
      <c r="AA35" s="2355"/>
      <c r="AB35" s="2355"/>
      <c r="AC35" s="2355"/>
      <c r="AD35" s="2356" t="s">
        <v>369</v>
      </c>
      <c r="AE35" s="2356"/>
      <c r="AF35" s="2356"/>
      <c r="AG35" s="2356"/>
      <c r="AH35" s="2356"/>
    </row>
    <row r="36" spans="1:76" ht="13" customHeight="1">
      <c r="B36" s="408"/>
      <c r="X36" s="413"/>
      <c r="Y36" s="2355"/>
      <c r="Z36" s="2355"/>
      <c r="AA36" s="2355"/>
      <c r="AB36" s="2355"/>
      <c r="AC36" s="2355"/>
      <c r="AD36" s="2356"/>
      <c r="AE36" s="2356"/>
      <c r="AF36" s="2356"/>
      <c r="AG36" s="2356"/>
      <c r="AH36" s="2356"/>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5"/>
      <c r="Z37" s="2355"/>
      <c r="AA37" s="2355"/>
      <c r="AB37" s="2355"/>
      <c r="AC37" s="2355"/>
      <c r="AD37" s="2356"/>
      <c r="AE37" s="2356"/>
      <c r="AF37" s="2356"/>
      <c r="AG37" s="2356"/>
      <c r="AH37" s="2356"/>
    </row>
    <row r="38" spans="1:76" ht="13"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 ca="1">IF(T24&gt;=(T23+Y23+AD23+AI23),T28+Y28,0)</f>
        <v>113913759.7</v>
      </c>
      <c r="Z38" s="2335"/>
      <c r="AA38" s="2335"/>
      <c r="AB38" s="2335"/>
      <c r="AC38" s="2335"/>
      <c r="AD38" s="2335">
        <f ca="1">IF(T24&gt;=(T23+Y23+AD23+AI23),AD28+AI28,0)</f>
        <v>0</v>
      </c>
      <c r="AE38" s="2335"/>
      <c r="AF38" s="2335"/>
      <c r="AG38" s="2335"/>
      <c r="AH38" s="2335"/>
    </row>
    <row r="39" spans="1:76" ht="13"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5"/>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 ca="1">ROUND(Y38*Y39,0)</f>
        <v>4556550</v>
      </c>
      <c r="Z40" s="2335"/>
      <c r="AA40" s="2335"/>
      <c r="AB40" s="2335"/>
      <c r="AC40" s="2335"/>
      <c r="AD40" s="2354">
        <f ca="1">ROUND(AD38*AD39,0)</f>
        <v>0</v>
      </c>
      <c r="AE40" s="2335"/>
      <c r="AF40" s="2335"/>
      <c r="AG40" s="2335"/>
      <c r="AH40" s="2335"/>
    </row>
    <row r="41" spans="1:76" ht="13"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 ca="1">Y40+AD40</f>
        <v>4556550</v>
      </c>
      <c r="Z41" s="2353"/>
      <c r="AA41" s="2353"/>
      <c r="AB41" s="2353"/>
      <c r="AC41" s="2353"/>
      <c r="AD41" s="2353"/>
      <c r="AE41" s="2353"/>
      <c r="AF41" s="2353"/>
      <c r="AG41" s="2353"/>
      <c r="AH41" s="235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2" t="s">
        <v>1277</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5" customFormat="1" ht="13" customHeight="1" thickTop="1"/>
    <row r="46" spans="1:76" ht="13" customHeight="1">
      <c r="A46" s="405" t="s">
        <v>587</v>
      </c>
      <c r="C46" s="405" t="s">
        <v>282</v>
      </c>
    </row>
    <row r="47" spans="1:76" ht="13" customHeight="1">
      <c r="D47" s="405" t="s">
        <v>283</v>
      </c>
      <c r="AB47" s="2349">
        <f ca="1">'Sources and Uses Budget'!B105-MAX(IF('Sources and Uses Budget'!B15="",0,'Sources and Uses Budget'!B15),IF(Application!AG394="",0,Application!AG394))</f>
        <v>100403334</v>
      </c>
      <c r="AC47" s="2350"/>
      <c r="AD47" s="2350"/>
      <c r="AE47" s="2350"/>
      <c r="AF47" s="2351"/>
    </row>
    <row r="48" spans="1:76" ht="13" customHeight="1">
      <c r="D48" s="405" t="s">
        <v>21</v>
      </c>
      <c r="AB48" s="2349">
        <f>Application!AO639-MAX(IF('Sources and Uses Budget'!B15="",0,'Sources and Uses Budget'!B15),IF(Application!AG394="",0,Application!AG394))</f>
        <v>58130008</v>
      </c>
      <c r="AC48" s="2350"/>
      <c r="AD48" s="2350"/>
      <c r="AE48" s="2350"/>
      <c r="AF48" s="2351"/>
    </row>
    <row r="49" spans="1:76" ht="13" customHeight="1">
      <c r="D49" s="405" t="s">
        <v>91</v>
      </c>
      <c r="AB49" s="2349">
        <f ca="1">AB47-AB48</f>
        <v>42273326</v>
      </c>
      <c r="AC49" s="2350"/>
      <c r="AD49" s="2350"/>
      <c r="AE49" s="2350"/>
      <c r="AF49" s="2351"/>
    </row>
    <row r="50" spans="1:76" ht="13" customHeight="1">
      <c r="D50" s="405" t="s">
        <v>682</v>
      </c>
      <c r="AA50" s="416"/>
      <c r="AB50" s="2337">
        <f>[1]EVERYTHING!$K$128+0.00000028</f>
        <v>0.92774874249796524</v>
      </c>
      <c r="AC50" s="2338"/>
      <c r="AD50" s="2338"/>
      <c r="AE50" s="2338"/>
      <c r="AF50" s="2339"/>
    </row>
    <row r="51" spans="1:76" s="418" customFormat="1" ht="13" customHeight="1">
      <c r="A51" s="403"/>
      <c r="B51" s="403"/>
      <c r="C51" s="403"/>
      <c r="D51" s="403"/>
      <c r="E51" s="2348" t="s">
        <v>1851</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49">
        <f ca="1">ROUND(IF(ISERROR((AB49/AB50)),0,(AB49/AB50)),0)</f>
        <v>45565490</v>
      </c>
      <c r="AC54" s="2350"/>
      <c r="AD54" s="2350"/>
      <c r="AE54" s="2350"/>
      <c r="AF54" s="2351"/>
    </row>
    <row r="55" spans="1:76" ht="13" customHeight="1">
      <c r="D55" s="405" t="s">
        <v>333</v>
      </c>
      <c r="AB55" s="2349">
        <f ca="1">(AB54/10)</f>
        <v>4556549</v>
      </c>
      <c r="AC55" s="2350"/>
      <c r="AD55" s="2350"/>
      <c r="AE55" s="2350"/>
      <c r="AF55" s="2351"/>
    </row>
    <row r="56" spans="1:76" ht="13" customHeight="1">
      <c r="D56" s="405" t="s">
        <v>757</v>
      </c>
      <c r="AB56" s="2349">
        <f ca="1">ROUND((IF((Y41&lt;AB55),Y41,AB55)),0)</f>
        <v>4556549</v>
      </c>
      <c r="AC56" s="2350"/>
      <c r="AD56" s="2350"/>
      <c r="AE56" s="2350"/>
      <c r="AF56" s="2351"/>
    </row>
    <row r="57" spans="1:76" ht="13" customHeight="1">
      <c r="D57" s="405" t="s">
        <v>756</v>
      </c>
      <c r="AB57" s="2349">
        <f ca="1">ROUND((10*AB56*AB50),0)</f>
        <v>42273326</v>
      </c>
      <c r="AC57" s="2350"/>
      <c r="AD57" s="2350"/>
      <c r="AE57" s="2350"/>
      <c r="AF57" s="2351"/>
    </row>
    <row r="58" spans="1:76" ht="13" customHeight="1">
      <c r="D58" s="405"/>
      <c r="AB58" s="424"/>
      <c r="AC58" s="424"/>
      <c r="AD58" s="424"/>
      <c r="AE58" s="424"/>
      <c r="AF58" s="424"/>
    </row>
    <row r="59" spans="1:76" ht="13" customHeight="1">
      <c r="D59" s="405" t="s">
        <v>755</v>
      </c>
      <c r="AB59" s="2333">
        <f ca="1">AB49-AB57</f>
        <v>0</v>
      </c>
      <c r="AC59" s="2333"/>
      <c r="AD59" s="2333"/>
      <c r="AE59" s="2333"/>
      <c r="AF59" s="2333"/>
    </row>
    <row r="60" spans="1:76" ht="13" customHeight="1">
      <c r="D60" s="405"/>
      <c r="AB60" s="424"/>
      <c r="AC60" s="424"/>
      <c r="AD60" s="424"/>
      <c r="AE60" s="424"/>
      <c r="AF60" s="424"/>
    </row>
    <row r="61" spans="1:76" s="205"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5" customFormat="1" ht="13" customHeight="1" thickTop="1"/>
    <row r="63" spans="1:76" ht="13" customHeight="1">
      <c r="A63" s="405" t="s">
        <v>590</v>
      </c>
      <c r="C63" s="206" t="s">
        <v>1249</v>
      </c>
      <c r="Y63" s="2344" t="s">
        <v>985</v>
      </c>
      <c r="Z63" s="2344"/>
      <c r="AA63" s="2344"/>
      <c r="AB63" s="2344"/>
      <c r="AC63" s="2344"/>
      <c r="AD63" s="2344" t="s">
        <v>369</v>
      </c>
      <c r="AE63" s="2344"/>
      <c r="AF63" s="2344"/>
      <c r="AG63" s="2344"/>
      <c r="AH63" s="2344"/>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3" customHeight="1">
      <c r="C68" s="405"/>
      <c r="D68" s="206" t="s">
        <v>2229</v>
      </c>
      <c r="Y68" s="2335">
        <f>ROUND(Y64*Y67,0)</f>
        <v>0</v>
      </c>
      <c r="Z68" s="2336"/>
      <c r="AA68" s="2336"/>
      <c r="AB68" s="2336"/>
      <c r="AC68" s="2336"/>
      <c r="AD68" s="2335">
        <f>ROUND(AD64*AD67,0)</f>
        <v>0</v>
      </c>
      <c r="AE68" s="2336"/>
      <c r="AF68" s="2336"/>
      <c r="AG68" s="2336"/>
      <c r="AH68" s="2336"/>
    </row>
    <row r="69" spans="1:36" ht="13" customHeight="1">
      <c r="C69" s="405"/>
      <c r="D69" s="206" t="s">
        <v>2230</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37"/>
      <c r="AC72" s="2338"/>
      <c r="AD72" s="2338"/>
      <c r="AE72" s="2338"/>
      <c r="AF72" s="2339"/>
    </row>
    <row r="73" spans="1:36" ht="13" customHeight="1">
      <c r="A73" s="405"/>
      <c r="C73" s="405"/>
      <c r="D73" s="405"/>
      <c r="E73" s="2340" t="s">
        <v>1252</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9"/>
      <c r="AC73" s="439"/>
    </row>
    <row r="74" spans="1:36" ht="13" customHeight="1">
      <c r="A74" s="405"/>
      <c r="C74" s="405"/>
      <c r="D74" s="405"/>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9"/>
      <c r="AC74" s="439"/>
    </row>
    <row r="75" spans="1:36" ht="13" customHeight="1">
      <c r="A75" s="405"/>
      <c r="C75" s="405"/>
      <c r="D75" s="405"/>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28">
        <f ca="1">ROUND(IF(ISERROR((AB59/AB72)),0,(AB59/AB72)),0)</f>
        <v>0</v>
      </c>
      <c r="AC77" s="2328"/>
      <c r="AD77" s="2328"/>
      <c r="AE77" s="2328"/>
      <c r="AF77" s="2328"/>
    </row>
    <row r="78" spans="1:36" ht="13" customHeight="1">
      <c r="C78" s="405"/>
      <c r="D78" s="206" t="s">
        <v>1254</v>
      </c>
      <c r="AB78" s="2329">
        <f ca="1">ROUNDUP(MIN(Y69,AB77),0)</f>
        <v>0</v>
      </c>
      <c r="AC78" s="2330"/>
      <c r="AD78" s="2330"/>
      <c r="AE78" s="2330"/>
      <c r="AF78" s="2331"/>
    </row>
    <row r="79" spans="1:36" ht="13" customHeight="1">
      <c r="C79" s="405"/>
      <c r="D79" s="206" t="s">
        <v>1255</v>
      </c>
      <c r="AB79" s="2332">
        <f ca="1">AB78*AB72</f>
        <v>0</v>
      </c>
      <c r="AC79" s="2332"/>
      <c r="AD79" s="2332"/>
      <c r="AE79" s="2332"/>
      <c r="AF79" s="2332"/>
    </row>
    <row r="80" spans="1:36" ht="13" customHeight="1">
      <c r="C80" s="405"/>
      <c r="D80" s="405"/>
      <c r="AB80" s="426"/>
      <c r="AC80" s="426"/>
      <c r="AD80" s="426"/>
      <c r="AE80" s="426"/>
      <c r="AF80" s="426"/>
    </row>
    <row r="81" spans="1:78" ht="13" customHeight="1">
      <c r="D81" s="405" t="s">
        <v>755</v>
      </c>
      <c r="AB81" s="2333">
        <f ca="1">AB49-(AB57+AB79)</f>
        <v>0</v>
      </c>
      <c r="AC81" s="2333"/>
      <c r="AD81" s="2333"/>
      <c r="AE81" s="2333"/>
      <c r="AF81" s="2333"/>
    </row>
    <row r="82" spans="1:78" ht="13" customHeight="1">
      <c r="F82" s="523"/>
      <c r="J82" s="523" t="str">
        <f ca="1">IF(AB81&gt;0,"FUNDING GAP MUST NOT EXCEED ZERO","")</f>
        <v/>
      </c>
    </row>
    <row r="83" spans="1:78" ht="13" customHeight="1">
      <c r="D83" s="524"/>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customHeight="1">
      <c r="A86" s="405"/>
      <c r="C86" s="206"/>
    </row>
    <row r="87" spans="1:78" ht="13" customHeight="1">
      <c r="D87" s="206"/>
      <c r="AB87" s="2384"/>
      <c r="AC87" s="2384"/>
      <c r="AD87" s="2384"/>
      <c r="AE87" s="2384"/>
      <c r="AF87" s="2384"/>
    </row>
    <row r="88" spans="1:78" ht="13" customHeight="1" thickBot="1">
      <c r="D88" s="206"/>
      <c r="AB88" s="2383"/>
      <c r="AC88" s="2383"/>
      <c r="AD88" s="2383"/>
      <c r="AE88" s="2383"/>
      <c r="AF88" s="238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R1" zoomScale="63" zoomScaleNormal="63"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26" t="s">
        <v>1301</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7"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7" t="s">
        <v>1306</v>
      </c>
      <c r="AF7" s="2407"/>
      <c r="AG7" s="2407"/>
      <c r="AH7" s="2407"/>
      <c r="AI7" s="2407"/>
      <c r="AJ7" s="2407"/>
      <c r="AK7" s="2407"/>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7" t="s">
        <v>592</v>
      </c>
      <c r="C13" s="2397"/>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8"/>
      <c r="AH13" s="2428"/>
      <c r="AI13" s="2428"/>
      <c r="AJ13" s="242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7" t="s">
        <v>592</v>
      </c>
      <c r="C16" s="2397"/>
      <c r="D16" s="548"/>
      <c r="E16" s="2408" t="s">
        <v>1308</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1"/>
      <c r="AL16" s="541"/>
      <c r="AM16" s="541"/>
      <c r="AN16" s="536"/>
      <c r="AO16" s="551">
        <f>IF($B25="yes",20,0)</f>
        <v>0</v>
      </c>
      <c r="AP16" s="14"/>
    </row>
    <row r="17" spans="1:42" s="537" customFormat="1" ht="12.75" customHeight="1">
      <c r="A17" s="541"/>
      <c r="B17" s="541"/>
      <c r="C17" s="541"/>
      <c r="D17" s="552"/>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1"/>
      <c r="AL17" s="541"/>
      <c r="AM17" s="541"/>
      <c r="AN17" s="536"/>
      <c r="AO17" s="551">
        <f>IF($B28="yes",20,0)</f>
        <v>0</v>
      </c>
    </row>
    <row r="18" spans="1:42" s="537" customFormat="1" ht="12.75" customHeight="1">
      <c r="A18" s="541"/>
      <c r="B18" s="541"/>
      <c r="C18" s="541"/>
      <c r="D18" s="552"/>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7" t="s">
        <v>592</v>
      </c>
      <c r="C22" s="2397"/>
      <c r="D22" s="548"/>
      <c r="E22" s="2433" t="s">
        <v>1311</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1"/>
      <c r="AL22" s="541"/>
      <c r="AM22" s="541"/>
      <c r="AN22" s="536"/>
      <c r="AO22" s="551">
        <f>IF($B40="yes",14,0)</f>
        <v>0</v>
      </c>
    </row>
    <row r="23" spans="1:42" s="537" customFormat="1" ht="12.75" customHeight="1">
      <c r="A23" s="541"/>
      <c r="B23" s="541"/>
      <c r="C23" s="541"/>
      <c r="D23" s="551"/>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7" t="s">
        <v>592</v>
      </c>
      <c r="C25" s="2397"/>
      <c r="D25" s="548"/>
      <c r="E25" s="2398" t="s">
        <v>2036</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1"/>
      <c r="AL25" s="541"/>
      <c r="AM25" s="541"/>
      <c r="AN25" s="536"/>
      <c r="AO25" s="551">
        <f>IF($B45="yes",6,0)</f>
        <v>0</v>
      </c>
    </row>
    <row r="26" spans="1:42" s="537" customFormat="1" ht="12.75" customHeight="1">
      <c r="A26" s="541"/>
      <c r="B26" s="541"/>
      <c r="C26" s="541"/>
      <c r="D26" s="551"/>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7" t="s">
        <v>592</v>
      </c>
      <c r="C28" s="2397"/>
      <c r="D28" s="548"/>
      <c r="E28" s="2421" t="s">
        <v>2253</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7" t="s">
        <v>592</v>
      </c>
      <c r="C33" s="2397"/>
      <c r="D33" s="548"/>
      <c r="E33" s="2433" t="s">
        <v>2255</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1"/>
      <c r="AL33" s="541"/>
      <c r="AM33" s="541"/>
      <c r="AN33" s="536"/>
      <c r="AO33" s="551"/>
    </row>
    <row r="34" spans="1:41" s="537" customFormat="1" ht="12.75" customHeight="1">
      <c r="A34" s="541"/>
      <c r="B34" s="541"/>
      <c r="C34" s="541"/>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7" t="s">
        <v>592</v>
      </c>
      <c r="C36" s="2397"/>
      <c r="D36" s="548"/>
      <c r="E36" s="2398" t="s">
        <v>2256</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1"/>
      <c r="AL36" s="541"/>
      <c r="AM36" s="541"/>
      <c r="AN36" s="536"/>
    </row>
    <row r="37" spans="1:41" s="537" customFormat="1" ht="12.75" customHeight="1">
      <c r="A37" s="541"/>
      <c r="B37" s="541"/>
      <c r="C37" s="541"/>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1"/>
      <c r="AL37" s="541"/>
      <c r="AM37" s="541"/>
      <c r="AN37" s="536"/>
    </row>
    <row r="38" spans="1:41" s="537" customFormat="1" ht="12.75" customHeight="1">
      <c r="A38" s="541"/>
      <c r="B38" s="541"/>
      <c r="C38" s="541"/>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7" t="s">
        <v>592</v>
      </c>
      <c r="C40" s="2397"/>
      <c r="D40" s="548"/>
      <c r="E40" s="2398" t="s">
        <v>2254</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1"/>
      <c r="AL40" s="541"/>
      <c r="AM40" s="541"/>
      <c r="AN40" s="536"/>
    </row>
    <row r="41" spans="1:41" s="537" customFormat="1" ht="12.75" customHeight="1">
      <c r="A41" s="541"/>
      <c r="B41" s="541"/>
      <c r="C41" s="541"/>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7" t="s">
        <v>592</v>
      </c>
      <c r="C45" s="2397"/>
      <c r="D45" s="1144"/>
      <c r="E45" s="2398" t="s">
        <v>2011</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4"/>
      <c r="AL45" s="541"/>
      <c r="AM45" s="541"/>
      <c r="AN45" s="536"/>
    </row>
    <row r="46" spans="1:41" s="537" customFormat="1" ht="12.75" customHeight="1">
      <c r="A46" s="541"/>
      <c r="B46" s="541"/>
      <c r="C46" s="541"/>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1"/>
      <c r="AL46" s="541"/>
      <c r="AM46" s="541"/>
      <c r="AN46" s="536"/>
    </row>
    <row r="47" spans="1:41" s="537" customFormat="1" ht="12.75" customHeight="1">
      <c r="A47" s="541"/>
      <c r="D47" s="548"/>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7" t="s">
        <v>592</v>
      </c>
      <c r="C52" s="2397"/>
      <c r="D52" s="541"/>
      <c r="E52" s="2398" t="s">
        <v>2016</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1"/>
      <c r="AL52" s="541"/>
      <c r="AM52" s="541"/>
      <c r="AN52" s="536"/>
      <c r="AO52" s="560"/>
    </row>
    <row r="53" spans="1:50" s="537" customFormat="1" ht="12.75" customHeight="1">
      <c r="A53" s="541"/>
      <c r="D53" s="548"/>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1"/>
      <c r="AL53" s="541"/>
      <c r="AM53" s="541"/>
      <c r="AN53" s="536"/>
      <c r="AO53" s="560"/>
    </row>
    <row r="54" spans="1:50" s="537" customFormat="1" ht="12.75" customHeight="1">
      <c r="A54" s="541"/>
      <c r="D54" s="541"/>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7" t="s">
        <v>592</v>
      </c>
      <c r="C56" s="2397"/>
      <c r="D56" s="541"/>
      <c r="E56" s="2418" t="s">
        <v>2017</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7" t="s">
        <v>592</v>
      </c>
      <c r="C58" s="2397"/>
      <c r="D58" s="541"/>
      <c r="E58" s="2398" t="s">
        <v>2018</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1"/>
      <c r="AL58" s="541"/>
      <c r="AM58" s="541"/>
      <c r="AN58" s="536"/>
    </row>
    <row r="59" spans="1:50" s="537" customFormat="1" ht="12.75" customHeight="1">
      <c r="A59" s="541"/>
      <c r="B59" s="548"/>
      <c r="C59" s="548"/>
      <c r="D59" s="548"/>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0">
        <f>AO39</f>
        <v>0</v>
      </c>
      <c r="AL62" s="2431"/>
      <c r="AM62" s="243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7" t="s">
        <v>1315</v>
      </c>
      <c r="AF65" s="2407"/>
      <c r="AG65" s="2407"/>
      <c r="AH65" s="2407"/>
      <c r="AI65" s="2407"/>
      <c r="AJ65" s="2407"/>
      <c r="AK65" s="2407"/>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7" t="s">
        <v>546</v>
      </c>
      <c r="C68" s="2397"/>
      <c r="D68" s="548" t="s">
        <v>1316</v>
      </c>
      <c r="E68" s="2408" t="s">
        <v>2019</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4"/>
      <c r="AL68" s="541"/>
      <c r="AM68" s="541"/>
      <c r="AN68" s="536"/>
      <c r="AO68" s="551">
        <f>IF($B68="yes",10,0)</f>
        <v>10</v>
      </c>
    </row>
    <row r="69" spans="1:42" s="537" customFormat="1" ht="12.75" customHeight="1">
      <c r="A69" s="539"/>
      <c r="B69" s="541"/>
      <c r="C69" s="541"/>
      <c r="D69" s="552"/>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4"/>
      <c r="AL69" s="541"/>
      <c r="AM69" s="541"/>
      <c r="AN69" s="536"/>
      <c r="AO69" s="551">
        <f>IF($B74="yes",10,0)</f>
        <v>0</v>
      </c>
    </row>
    <row r="70" spans="1:42" s="537" customFormat="1" ht="12.75" customHeight="1">
      <c r="A70" s="539"/>
      <c r="B70" s="541"/>
      <c r="C70" s="541"/>
      <c r="D70" s="552"/>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4"/>
      <c r="AL70" s="541"/>
      <c r="AM70" s="541"/>
      <c r="AN70" s="536"/>
      <c r="AO70" s="551">
        <f>IF($B81="yes",10,0)</f>
        <v>0</v>
      </c>
    </row>
    <row r="71" spans="1:42" s="537" customFormat="1" ht="12.75" customHeight="1">
      <c r="A71" s="539"/>
      <c r="B71" s="541"/>
      <c r="C71" s="541"/>
      <c r="D71" s="552"/>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4"/>
      <c r="AL71" s="541"/>
      <c r="AM71" s="541"/>
      <c r="AN71" s="536"/>
      <c r="AO71" s="537">
        <f>IF(SUM(AO68:AO70)&gt;10,10,(SUM(AO68:AO70)))</f>
        <v>10</v>
      </c>
      <c r="AP71" s="575" t="s">
        <v>1317</v>
      </c>
    </row>
    <row r="72" spans="1:42" s="537" customFormat="1" ht="12.75" customHeight="1">
      <c r="A72" s="539"/>
      <c r="B72" s="541"/>
      <c r="C72" s="541"/>
      <c r="D72" s="552"/>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7" t="s">
        <v>592</v>
      </c>
      <c r="C74" s="2397"/>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7" t="s">
        <v>592</v>
      </c>
      <c r="F75" s="2397"/>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5" t="s">
        <v>592</v>
      </c>
      <c r="F76" s="2396"/>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5" t="s">
        <v>592</v>
      </c>
      <c r="F77" s="2396"/>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7" t="s">
        <v>592</v>
      </c>
      <c r="F79" s="2397"/>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7" t="s">
        <v>592</v>
      </c>
      <c r="C81" s="2397"/>
      <c r="D81" s="548" t="s">
        <v>1321</v>
      </c>
      <c r="E81" s="2398" t="s">
        <v>1741</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4"/>
      <c r="AL81" s="541"/>
      <c r="AM81" s="541"/>
      <c r="AN81" s="536"/>
    </row>
    <row r="82" spans="1:43" s="537" customFormat="1" ht="12.75" customHeight="1">
      <c r="A82" s="539"/>
      <c r="B82" s="541"/>
      <c r="C82" s="541"/>
      <c r="D82" s="551"/>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0">
        <f>IF(AK62&gt;0,0,AO71)</f>
        <v>10</v>
      </c>
      <c r="AL84" s="2431"/>
      <c r="AM84" s="243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7" t="s">
        <v>1306</v>
      </c>
      <c r="AF87" s="2407"/>
      <c r="AG87" s="2407"/>
      <c r="AH87" s="2407"/>
      <c r="AI87" s="2407"/>
      <c r="AJ87" s="2407"/>
      <c r="AK87" s="2407"/>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7" t="s">
        <v>546</v>
      </c>
      <c r="C90" s="2397"/>
      <c r="D90" s="548" t="s">
        <v>1316</v>
      </c>
      <c r="E90" s="2408" t="s">
        <v>1326</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4"/>
      <c r="AL90" s="541"/>
      <c r="AM90" s="541"/>
      <c r="AN90" s="536"/>
    </row>
    <row r="91" spans="1:43" s="537" customFormat="1" ht="12.75" customHeight="1">
      <c r="A91" s="539"/>
      <c r="B91" s="540"/>
      <c r="C91" s="540"/>
      <c r="D91" s="540"/>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1">
        <f>Application!AC753</f>
        <v>0.47322834645669298</v>
      </c>
      <c r="F93" s="2392"/>
      <c r="G93" s="2392"/>
      <c r="H93" s="2392"/>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3">
        <f>0.6-ROUNDUP(E93,2)</f>
        <v>0.12</v>
      </c>
      <c r="F94" s="2394"/>
      <c r="G94" s="2394"/>
      <c r="H94" s="2394"/>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4">
        <f>IF(E94*200&gt;20,20,E94*200)</f>
        <v>20</v>
      </c>
      <c r="F95" s="2425"/>
      <c r="G95" s="2425"/>
      <c r="H95" s="2425"/>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7" t="s">
        <v>592</v>
      </c>
      <c r="C98" s="2397"/>
      <c r="D98" s="548" t="s">
        <v>1318</v>
      </c>
      <c r="E98" s="2408" t="s">
        <v>1726</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4"/>
      <c r="AL98" s="541"/>
      <c r="AM98" s="541"/>
      <c r="AN98" s="536"/>
    </row>
    <row r="99" spans="1:47" s="537" customFormat="1" ht="12.75" customHeight="1">
      <c r="A99" s="539"/>
      <c r="B99" s="540"/>
      <c r="C99" s="540"/>
      <c r="D99" s="540"/>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4"/>
      <c r="AL99" s="541"/>
      <c r="AM99" s="541"/>
      <c r="AN99" s="536"/>
    </row>
    <row r="100" spans="1:47" s="537" customFormat="1" ht="12.75" customHeight="1">
      <c r="A100" s="539"/>
      <c r="B100" s="540"/>
      <c r="C100" s="540"/>
      <c r="D100" s="540"/>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4"/>
      <c r="AL100" s="541"/>
      <c r="AM100" s="541"/>
      <c r="AN100" s="536"/>
    </row>
    <row r="101" spans="1:47" s="537" customFormat="1" ht="12.75" customHeight="1">
      <c r="A101" s="539"/>
      <c r="B101" s="540"/>
      <c r="C101" s="540"/>
      <c r="D101" s="540"/>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1">
        <f>Application!AC753</f>
        <v>0.47322834645669298</v>
      </c>
      <c r="F103" s="2392"/>
      <c r="G103" s="2392"/>
      <c r="H103" s="2392"/>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1">
        <f ca="1">SUMIF(Application!AC718:AG752,0.2,Application!G718:J752)/Application!G753+SUMIF(Application!AC718:AG752,0.25,Application!G718:J752)/Application!G753+SUMIF(Application!AC718:AG752,0.3,Application!G718:J752)/Application!G753</f>
        <v>0.27559055118110237</v>
      </c>
      <c r="F104" s="2392"/>
      <c r="G104" s="2392"/>
      <c r="H104" s="2392"/>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1">
        <f ca="1">SUMIF(Application!AC718:AG752,0.35,Application!G718:J752)/Application!G753+SUMIF(Application!AC718:AG752,0.4,Application!G718:J752)/Application!G753+SUMIF(Application!AC718:AG752,0.45,Application!G718:J752)/Application!G753+SUMIF(Application!AC718:AG752,0.5,Application!G718:J752)/Application!G753</f>
        <v>0.46456692913385828</v>
      </c>
      <c r="F105" s="2392"/>
      <c r="G105" s="2392"/>
      <c r="H105" s="2392"/>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9">
        <f ca="1">IF(AND(E103&lt;=0.6,OR(AND(E104&gt;=0.1,E105&gt;=0.1),AND(E104&gt;0.1,(E104+E105)&gt;=0.2))),20,0)</f>
        <v>20</v>
      </c>
      <c r="F106" s="2450"/>
      <c r="G106" s="2450"/>
      <c r="H106" s="2450"/>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0">
        <f>MAX(AP95,AP106)</f>
        <v>20</v>
      </c>
      <c r="AL109" s="2431"/>
      <c r="AM109" s="243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7" t="s">
        <v>1315</v>
      </c>
      <c r="AF112" s="2407"/>
      <c r="AG112" s="2407"/>
      <c r="AH112" s="2407"/>
      <c r="AI112" s="2407"/>
      <c r="AJ112" s="2407"/>
      <c r="AK112" s="2407"/>
      <c r="AL112" s="541"/>
      <c r="AM112" s="541"/>
      <c r="AN112" s="536"/>
      <c r="AO112" s="537" t="str">
        <f>Application!B718</f>
        <v>SRO/Studio</v>
      </c>
      <c r="AQ112" s="537">
        <f>Application!O718</f>
        <v>489</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761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1306</v>
      </c>
    </row>
    <row r="115" spans="1:52" s="537" customFormat="1" ht="12.75" customHeight="1">
      <c r="A115" s="541"/>
      <c r="B115" s="2397" t="s">
        <v>546</v>
      </c>
      <c r="C115" s="2397"/>
      <c r="D115" s="548" t="s">
        <v>1316</v>
      </c>
      <c r="E115" s="2408" t="s">
        <v>1859</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1"/>
      <c r="AL115" s="541"/>
      <c r="AM115" s="541"/>
      <c r="AN115" s="536"/>
      <c r="AO115" s="537" t="str">
        <f>Application!B721</f>
        <v>SRO/Studio</v>
      </c>
      <c r="AQ115" s="537">
        <f>Application!O721</f>
        <v>1579</v>
      </c>
      <c r="AU115" s="537" t="s">
        <v>1841</v>
      </c>
      <c r="AV115" s="596" t="s">
        <v>1842</v>
      </c>
      <c r="AW115" s="537" t="s">
        <v>1843</v>
      </c>
    </row>
    <row r="116" spans="1:52" s="537" customFormat="1" ht="12.75" customHeight="1">
      <c r="A116" s="541"/>
      <c r="B116" s="540"/>
      <c r="C116" s="540"/>
      <c r="D116" s="540"/>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1"/>
      <c r="AL116" s="541"/>
      <c r="AM116" s="541"/>
      <c r="AN116" s="536"/>
      <c r="AO116" s="537" t="str">
        <f>Application!B722</f>
        <v>1 Bedroom</v>
      </c>
      <c r="AQ116" s="537">
        <f>Application!O722</f>
        <v>514</v>
      </c>
      <c r="AU116" s="857" t="str">
        <f>E124</f>
        <v>Studio/SRO</v>
      </c>
      <c r="AV116" s="537">
        <f t="array" ref="AV116">SUM(IF(Application!B718:F752="SRO/Studio",Application!G718:J752))</f>
        <v>36</v>
      </c>
      <c r="AW116" s="1012">
        <f>AV116/AV122</f>
        <v>0.28346456692913385</v>
      </c>
    </row>
    <row r="117" spans="1:52" s="537" customFormat="1" ht="12.75" customHeight="1">
      <c r="A117" s="541"/>
      <c r="B117" s="540"/>
      <c r="C117" s="540"/>
      <c r="D117" s="540"/>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1"/>
      <c r="AL117" s="541"/>
      <c r="AM117" s="541"/>
      <c r="AN117" s="536"/>
      <c r="AO117" s="537" t="str">
        <f>Application!B723</f>
        <v>1 Bedroom</v>
      </c>
      <c r="AQ117" s="537">
        <f>Application!O723</f>
        <v>806</v>
      </c>
      <c r="AU117" s="857" t="str">
        <f>J124</f>
        <v>1-bedroom</v>
      </c>
      <c r="AV117" s="537">
        <f t="array" ref="AV117">SUM(IF(Application!B718:F752="1 Bedroom",Application!G718:J752))</f>
        <v>44</v>
      </c>
      <c r="AW117" s="1012">
        <f>AV117/AV122</f>
        <v>0.34645669291338582</v>
      </c>
    </row>
    <row r="118" spans="1:52" s="537" customFormat="1" ht="12.75" customHeight="1">
      <c r="A118" s="541"/>
      <c r="B118" s="540"/>
      <c r="C118" s="540"/>
      <c r="D118" s="540"/>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1"/>
      <c r="AL118" s="541"/>
      <c r="AM118" s="541"/>
      <c r="AN118" s="536"/>
      <c r="AO118" s="537" t="str">
        <f>Application!B724</f>
        <v>1 Bedroom</v>
      </c>
      <c r="AQ118" s="537">
        <f>Application!O724</f>
        <v>1390</v>
      </c>
      <c r="AU118" s="857" t="str">
        <f>O124</f>
        <v>2-bedroom</v>
      </c>
      <c r="AV118" s="537">
        <f t="array" ref="AV118">SUM(IF(Application!B718:F752="2 Bedrooms",Application!G718:J752))</f>
        <v>27</v>
      </c>
      <c r="AW118" s="1012">
        <f>AV118/AV122</f>
        <v>0.2125984251968504</v>
      </c>
    </row>
    <row r="119" spans="1:52" s="537" customFormat="1" ht="12.75" customHeight="1">
      <c r="A119" s="541"/>
      <c r="B119" s="540"/>
      <c r="C119" s="540"/>
      <c r="D119" s="540"/>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1"/>
      <c r="AL119" s="541"/>
      <c r="AM119" s="541"/>
      <c r="AN119" s="536"/>
      <c r="AO119" s="537" t="str">
        <f>Application!B725</f>
        <v>1 Bedroom</v>
      </c>
      <c r="AQ119" s="537">
        <f>Application!O725</f>
        <v>1682</v>
      </c>
      <c r="AU119" s="857" t="str">
        <f>T124</f>
        <v>3-bedroom</v>
      </c>
      <c r="AV119" s="537">
        <f t="array" ref="AV119">SUM(IF(Application!B718:F752="3 Bedrooms",Application!G718:J752))</f>
        <v>20</v>
      </c>
      <c r="AW119" s="1012">
        <f>AV119/AV122</f>
        <v>0.15748031496062992</v>
      </c>
    </row>
    <row r="120" spans="1:52" s="537" customFormat="1" ht="12.75" customHeight="1">
      <c r="A120" s="541"/>
      <c r="B120" s="540"/>
      <c r="C120" s="540"/>
      <c r="D120" s="540"/>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1"/>
      <c r="AL120" s="541"/>
      <c r="AM120" s="541"/>
      <c r="AN120" s="536"/>
      <c r="AO120" s="537" t="str">
        <f>Application!B726</f>
        <v>1 Bedroom</v>
      </c>
      <c r="AQ120" s="537">
        <f>Application!O726</f>
        <v>2266</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1"/>
      <c r="AL121" s="541"/>
      <c r="AM121" s="541"/>
      <c r="AN121" s="536"/>
      <c r="AO121" s="537" t="str">
        <f>Application!B727</f>
        <v>2 Bedrooms</v>
      </c>
      <c r="AQ121" s="537">
        <f>Application!O727</f>
        <v>965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1"/>
      <c r="AL122" s="541"/>
      <c r="AM122" s="541"/>
      <c r="AN122" s="536"/>
      <c r="AO122" s="537" t="str">
        <f>Application!B728</f>
        <v>2 Bedrooms</v>
      </c>
      <c r="AQ122" s="537">
        <f>Application!O728</f>
        <v>1666</v>
      </c>
      <c r="AV122" s="537">
        <f>SUM(AV116:AV121)</f>
        <v>127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2017</v>
      </c>
    </row>
    <row r="124" spans="1:52" s="537" customFormat="1" ht="12.75" customHeight="1">
      <c r="A124" s="541"/>
      <c r="B124" s="540"/>
      <c r="C124" s="541"/>
      <c r="D124" s="541"/>
      <c r="E124" s="2391" t="s">
        <v>1589</v>
      </c>
      <c r="F124" s="2392"/>
      <c r="G124" s="2392"/>
      <c r="H124" s="2392"/>
      <c r="I124" s="578"/>
      <c r="J124" s="2392" t="s">
        <v>1632</v>
      </c>
      <c r="K124" s="2392"/>
      <c r="L124" s="2392"/>
      <c r="M124" s="2392"/>
      <c r="N124" s="578"/>
      <c r="O124" s="2392" t="s">
        <v>1633</v>
      </c>
      <c r="P124" s="2392"/>
      <c r="Q124" s="2392"/>
      <c r="R124" s="2392"/>
      <c r="S124" s="578"/>
      <c r="T124" s="2392" t="s">
        <v>1335</v>
      </c>
      <c r="U124" s="2392"/>
      <c r="V124" s="2392"/>
      <c r="W124" s="2392"/>
      <c r="X124" s="578"/>
      <c r="Y124" s="2392" t="s">
        <v>1634</v>
      </c>
      <c r="Z124" s="2392"/>
      <c r="AA124" s="2392"/>
      <c r="AB124" s="2392"/>
      <c r="AC124" s="578"/>
      <c r="AD124" s="2392" t="s">
        <v>1635</v>
      </c>
      <c r="AE124" s="2392"/>
      <c r="AF124" s="2392"/>
      <c r="AG124" s="2392"/>
      <c r="AH124" s="578"/>
      <c r="AI124" s="578"/>
      <c r="AJ124" s="580"/>
      <c r="AK124" s="541"/>
      <c r="AL124" s="541"/>
      <c r="AM124" s="541"/>
      <c r="AN124" s="536"/>
      <c r="AO124" s="537" t="str">
        <f>Application!B730</f>
        <v>2 Bedrooms</v>
      </c>
      <c r="AQ124" s="537">
        <f>Application!O730</f>
        <v>2718</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3 Bedrooms</v>
      </c>
      <c r="AQ125" s="537">
        <f>Application!O731</f>
        <v>1110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3 Bedrooms</v>
      </c>
      <c r="AQ126" s="537">
        <f>Application!O732</f>
        <v>1920</v>
      </c>
    </row>
    <row r="127" spans="1:52" s="537" customFormat="1" ht="12.75" customHeight="1">
      <c r="A127" s="541"/>
      <c r="B127" s="540"/>
      <c r="C127" s="541"/>
      <c r="D127" s="541"/>
      <c r="E127" s="2451">
        <v>1579</v>
      </c>
      <c r="F127" s="2452"/>
      <c r="G127" s="2452"/>
      <c r="H127" s="2452"/>
      <c r="I127" s="865"/>
      <c r="J127" s="2452">
        <v>2266</v>
      </c>
      <c r="K127" s="2452"/>
      <c r="L127" s="2452"/>
      <c r="M127" s="2452"/>
      <c r="N127" s="865"/>
      <c r="O127" s="2452">
        <v>3096</v>
      </c>
      <c r="P127" s="2452"/>
      <c r="Q127" s="2452"/>
      <c r="R127" s="2452"/>
      <c r="S127" s="865"/>
      <c r="T127" s="2452">
        <v>3856</v>
      </c>
      <c r="U127" s="2452"/>
      <c r="V127" s="2452"/>
      <c r="W127" s="2452"/>
      <c r="X127" s="865"/>
      <c r="Y127" s="2452"/>
      <c r="Z127" s="2452"/>
      <c r="AA127" s="2452"/>
      <c r="AB127" s="2452"/>
      <c r="AC127" s="865"/>
      <c r="AD127" s="2452"/>
      <c r="AE127" s="2452"/>
      <c r="AF127" s="2452"/>
      <c r="AG127" s="2452"/>
      <c r="AH127" s="578"/>
      <c r="AI127" s="578"/>
      <c r="AJ127" s="580"/>
      <c r="AK127" s="541"/>
      <c r="AL127" s="541"/>
      <c r="AM127" s="541"/>
      <c r="AN127" s="536"/>
      <c r="AO127" s="537" t="str">
        <f>Application!B733</f>
        <v>3 Bedrooms</v>
      </c>
      <c r="AQ127" s="537">
        <f>Application!O733</f>
        <v>2325</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t="str">
        <f>Application!B734</f>
        <v>3 Bedrooms</v>
      </c>
      <c r="AQ128" s="537">
        <f>Application!O734</f>
        <v>3135</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4">
        <f>Application!DX670</f>
        <v>950.38888888888869</v>
      </c>
      <c r="F130" s="2445"/>
      <c r="G130" s="2445"/>
      <c r="H130" s="2445"/>
      <c r="I130" s="865"/>
      <c r="J130" s="2445">
        <f>Application!EC670</f>
        <v>1356.8181818181818</v>
      </c>
      <c r="K130" s="2445"/>
      <c r="L130" s="2445"/>
      <c r="M130" s="2445"/>
      <c r="N130" s="865"/>
      <c r="O130" s="2445">
        <f>Application!EH670</f>
        <v>1783.0370370370367</v>
      </c>
      <c r="P130" s="2445"/>
      <c r="Q130" s="2445"/>
      <c r="R130" s="2445"/>
      <c r="S130" s="869"/>
      <c r="T130" s="2445">
        <f>Application!EM670</f>
        <v>2102.25</v>
      </c>
      <c r="U130" s="2445"/>
      <c r="V130" s="2445"/>
      <c r="W130" s="2445"/>
      <c r="X130" s="869"/>
      <c r="Y130" s="2445">
        <f>Application!ER670</f>
        <v>0</v>
      </c>
      <c r="Z130" s="2445"/>
      <c r="AA130" s="2445"/>
      <c r="AB130" s="2445"/>
      <c r="AC130" s="869"/>
      <c r="AD130" s="2445">
        <f>Application!EW670</f>
        <v>0</v>
      </c>
      <c r="AE130" s="2445"/>
      <c r="AF130" s="2445"/>
      <c r="AG130" s="244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3">
        <f>(E127-E130)/E127</f>
        <v>0.39810710013369938</v>
      </c>
      <c r="F133" s="2394"/>
      <c r="G133" s="2394"/>
      <c r="H133" s="2644"/>
      <c r="I133" s="578"/>
      <c r="J133" s="2643">
        <f>(J127-J130)/J127</f>
        <v>0.40122763379603632</v>
      </c>
      <c r="K133" s="2394"/>
      <c r="L133" s="2394"/>
      <c r="M133" s="2644"/>
      <c r="N133" s="578"/>
      <c r="O133" s="2643">
        <f>(O127-O130)/O127</f>
        <v>0.42408364436788221</v>
      </c>
      <c r="P133" s="2394"/>
      <c r="Q133" s="2394"/>
      <c r="R133" s="2644"/>
      <c r="S133" s="578"/>
      <c r="T133" s="2643">
        <f>(T127-T130)/T127</f>
        <v>0.4548106846473029</v>
      </c>
      <c r="U133" s="2394"/>
      <c r="V133" s="2394"/>
      <c r="W133" s="2644"/>
      <c r="X133" s="578"/>
      <c r="Y133" s="2643" t="e">
        <f>(Y127-Y130)/Y127</f>
        <v>#DIV/0!</v>
      </c>
      <c r="Z133" s="2394"/>
      <c r="AA133" s="2394"/>
      <c r="AB133" s="2644"/>
      <c r="AC133" s="578"/>
      <c r="AD133" s="2643" t="e">
        <f>(AD127-AD130)/AD127</f>
        <v>#DIV/0!</v>
      </c>
      <c r="AE133" s="2394"/>
      <c r="AF133" s="2394"/>
      <c r="AG133" s="264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6">
        <f>IF(((E133-0.1)*AW116)&gt;0,((E133-0.1)*AW116),0)</f>
        <v>8.450280003789902E-2</v>
      </c>
      <c r="F136" s="2447"/>
      <c r="G136" s="2447"/>
      <c r="H136" s="2448"/>
      <c r="I136" s="578"/>
      <c r="J136" s="2446">
        <f>IF(((J133-0.1)*AW117)&gt;0,((J133-0.1)*AW117),0)</f>
        <v>0.10436232981909921</v>
      </c>
      <c r="K136" s="2447"/>
      <c r="L136" s="2447"/>
      <c r="M136" s="2448"/>
      <c r="N136" s="578"/>
      <c r="O136" s="2446">
        <f>IF(((O133-0.1)*AW118)&gt;0,((O133-0.1)*AW118),0)</f>
        <v>6.8899672424667865E-2</v>
      </c>
      <c r="P136" s="2447"/>
      <c r="Q136" s="2447"/>
      <c r="R136" s="2448"/>
      <c r="S136" s="578"/>
      <c r="T136" s="2446">
        <f>IF(((T133-0.1)*AW119)&gt;0,((T133-0.1)*AW119),0)</f>
        <v>5.5875698369654003E-2</v>
      </c>
      <c r="U136" s="2447"/>
      <c r="V136" s="2447"/>
      <c r="W136" s="2448"/>
      <c r="X136" s="578"/>
      <c r="Y136" s="2446" t="e">
        <f>IF(((Y133-0.1)*AW120)&gt;0,((Y133-0.1)*AW120),0)</f>
        <v>#DIV/0!</v>
      </c>
      <c r="Z136" s="2447"/>
      <c r="AA136" s="2447"/>
      <c r="AB136" s="2448"/>
      <c r="AC136" s="578"/>
      <c r="AD136" s="2446" t="e">
        <f>IF(((AD133-0.1)*AW121)&gt;0,((AD133-0.1)*AW121),0)</f>
        <v>#DIV/0!</v>
      </c>
      <c r="AE136" s="2447"/>
      <c r="AF136" s="2447"/>
      <c r="AG136" s="244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3">
        <f>ROUNDDOWN(SUMIF(E136:AG136,"&gt;0"),2)</f>
        <v>0.31</v>
      </c>
      <c r="F138" s="2394"/>
      <c r="G138" s="2394"/>
      <c r="H138" s="2644"/>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0">
        <f>IF((E138*100)&gt;10,10,E138*100)</f>
        <v>10</v>
      </c>
      <c r="F139" s="2431"/>
      <c r="G139" s="2431"/>
      <c r="H139" s="2432"/>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0">
        <f>E139</f>
        <v>10</v>
      </c>
      <c r="AL143" s="2431"/>
      <c r="AM143" s="243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7" t="s">
        <v>1315</v>
      </c>
      <c r="AF146" s="2407"/>
      <c r="AG146" s="2407"/>
      <c r="AH146" s="2407"/>
      <c r="AI146" s="2407"/>
      <c r="AJ146" s="2407"/>
      <c r="AK146" s="2407"/>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2" t="s">
        <v>1339</v>
      </c>
      <c r="AG148" s="2442"/>
      <c r="AH148" s="2442"/>
      <c r="AI148" s="2442"/>
      <c r="AJ148" s="2442"/>
      <c r="AK148" s="2442"/>
      <c r="AL148" s="244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3" t="s">
        <v>2627</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9" t="s">
        <v>1342</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70" t="s">
        <v>592</v>
      </c>
      <c r="AC155" s="247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9" t="s">
        <v>1344</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0" t="s">
        <v>2480</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2"/>
      <c r="AM161" s="540"/>
      <c r="AN161" s="536"/>
      <c r="AO161" s="477"/>
      <c r="AP161" s="490"/>
    </row>
    <row r="162" spans="1:42" s="537"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2"/>
      <c r="AM162" s="540"/>
      <c r="AN162" s="536"/>
      <c r="AO162" s="477"/>
      <c r="AP162" s="490"/>
    </row>
    <row r="163" spans="1:42" s="537" customFormat="1" ht="12.75" customHeight="1">
      <c r="C163" s="2533" t="s">
        <v>2481</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2"/>
      <c r="AM163" s="540"/>
      <c r="AN163" s="536"/>
      <c r="AO163" s="477"/>
      <c r="AP163" s="490"/>
    </row>
    <row r="164" spans="1:42" s="537" customFormat="1" ht="12.75" customHeight="1">
      <c r="B164" s="1182"/>
      <c r="C164" s="2468" t="s">
        <v>2479</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2"/>
      <c r="AB164" s="1172"/>
      <c r="AC164" s="1172"/>
      <c r="AD164" s="1172"/>
      <c r="AE164" s="1172"/>
      <c r="AF164" s="1172"/>
      <c r="AG164" s="1172"/>
      <c r="AH164" s="1172"/>
      <c r="AJ164" s="2470" t="s">
        <v>592</v>
      </c>
      <c r="AK164" s="247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3">
        <f>IF($AB$155="N/A",VLOOKUP($B$153,$AO$151:$AP$154,2,FALSE),VLOOKUP($B$158,$AO$156:$AP$158,2,FALSE))</f>
        <v>7</v>
      </c>
      <c r="AK166" s="247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2" t="s">
        <v>1353</v>
      </c>
      <c r="AG168" s="2442"/>
      <c r="AH168" s="2442"/>
      <c r="AI168" s="2442"/>
      <c r="AJ168" s="2442"/>
      <c r="AK168" s="2442"/>
      <c r="AL168" s="2442"/>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9" t="s">
        <v>1351</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0" t="s">
        <v>592</v>
      </c>
      <c r="AG172" s="2470"/>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9" t="s">
        <v>1344</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1" t="str">
        <f>Application!AA335</f>
        <v>The John Stewart Company</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2">
        <f>IF($AF$172="N/A",VLOOKUP($C$170,$AO$170:$AP$173,2,FALSE),VLOOKUP($C$174,$AO$177:$AP$179,2,FALSE))</f>
        <v>3</v>
      </c>
      <c r="AK180" s="247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0">
        <f>$AJ$166+$AJ$180</f>
        <v>10</v>
      </c>
      <c r="AL183" s="2431"/>
      <c r="AM183" s="243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7" t="s">
        <v>1315</v>
      </c>
      <c r="AF186" s="2407"/>
      <c r="AG186" s="2407"/>
      <c r="AH186" s="2407"/>
      <c r="AI186" s="2407"/>
      <c r="AJ186" s="2407"/>
      <c r="AK186" s="2407"/>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7" t="s">
        <v>1368</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7"/>
      <c r="AE188" s="537"/>
      <c r="AF188" s="2442" t="s">
        <v>1364</v>
      </c>
      <c r="AG188" s="2442"/>
      <c r="AH188" s="2442"/>
      <c r="AI188" s="2442"/>
      <c r="AJ188" s="2442"/>
      <c r="AK188" s="2442"/>
      <c r="AL188" s="2442"/>
      <c r="AN188" s="598"/>
      <c r="AP188" s="551" t="s">
        <v>1044</v>
      </c>
      <c r="AQ188" s="551">
        <v>10</v>
      </c>
    </row>
    <row r="189" spans="1:73" s="551" customFormat="1" ht="12.75" customHeight="1">
      <c r="A189" s="537"/>
      <c r="B189" s="2468" t="s">
        <v>1727</v>
      </c>
      <c r="C189" s="2468"/>
      <c r="D189" s="2468"/>
      <c r="E189" s="2468"/>
      <c r="F189" s="2468"/>
      <c r="G189" s="2468"/>
      <c r="H189" s="2468"/>
      <c r="I189" s="2468"/>
      <c r="J189" s="2468"/>
      <c r="K189" s="2468"/>
      <c r="L189" s="2468"/>
      <c r="M189" s="2468"/>
      <c r="N189" s="2468"/>
      <c r="O189" s="2468"/>
      <c r="P189" s="2468"/>
      <c r="Q189" s="2468"/>
      <c r="R189" s="2468"/>
      <c r="S189" s="2468"/>
      <c r="T189" s="2443" t="s">
        <v>592</v>
      </c>
      <c r="U189" s="2443"/>
      <c r="V189" s="2443"/>
      <c r="W189" s="2443"/>
      <c r="X189" s="2443"/>
      <c r="Y189" s="2443"/>
      <c r="Z189" s="2443"/>
      <c r="AA189" s="2443"/>
      <c r="AB189" s="2443"/>
      <c r="AC189" s="244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7">
        <f>IF(AK84&gt;0,VLOOKUP($B$188,AP185:AQ191,2,FALSE),0)</f>
        <v>10</v>
      </c>
      <c r="AL191" s="2478"/>
      <c r="AM191" s="2479"/>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7" t="s">
        <v>1373</v>
      </c>
      <c r="AF194" s="2407"/>
      <c r="AG194" s="2407"/>
      <c r="AH194" s="2407"/>
      <c r="AI194" s="2407"/>
      <c r="AJ194" s="2407"/>
      <c r="AK194" s="2407"/>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4" t="s">
        <v>2760</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7"/>
      <c r="AD199" s="2455">
        <f>Application!AO628+Application!AO630</f>
        <v>35000000</v>
      </c>
      <c r="AE199" s="2455"/>
      <c r="AF199" s="2455"/>
      <c r="AG199" s="2455"/>
      <c r="AH199" s="2455"/>
      <c r="AI199" s="2455"/>
      <c r="AJ199" s="2455"/>
      <c r="AK199" s="611"/>
    </row>
    <row r="200" spans="1:40">
      <c r="A200" s="606"/>
      <c r="B200" s="2454" t="s">
        <v>2699</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7"/>
      <c r="AD200" s="2455">
        <f>Application!AO629</f>
        <v>17276908</v>
      </c>
      <c r="AE200" s="2455"/>
      <c r="AF200" s="2455"/>
      <c r="AG200" s="2455"/>
      <c r="AH200" s="2455"/>
      <c r="AI200" s="2455"/>
      <c r="AJ200" s="2455"/>
      <c r="AK200" s="611"/>
    </row>
    <row r="201" spans="1:40">
      <c r="A201" s="606"/>
      <c r="B201" s="2454" t="s">
        <v>2759</v>
      </c>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7"/>
      <c r="AD201" s="2455">
        <f>Application!AO631</f>
        <v>450000</v>
      </c>
      <c r="AE201" s="2455"/>
      <c r="AF201" s="2455"/>
      <c r="AG201" s="2455"/>
      <c r="AH201" s="2455"/>
      <c r="AI201" s="2455"/>
      <c r="AJ201" s="2455"/>
      <c r="AK201" s="611"/>
    </row>
    <row r="202" spans="1:40">
      <c r="A202" s="606"/>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7"/>
      <c r="AD202" s="2455"/>
      <c r="AE202" s="2455"/>
      <c r="AF202" s="2455"/>
      <c r="AG202" s="2455"/>
      <c r="AH202" s="2455"/>
      <c r="AI202" s="2455"/>
      <c r="AJ202" s="2455"/>
      <c r="AK202" s="611"/>
    </row>
    <row r="203" spans="1:40">
      <c r="A203" s="606"/>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7"/>
      <c r="AD203" s="2455"/>
      <c r="AE203" s="2455"/>
      <c r="AF203" s="2455"/>
      <c r="AG203" s="2455"/>
      <c r="AH203" s="2455"/>
      <c r="AI203" s="2455"/>
      <c r="AJ203" s="2455"/>
      <c r="AK203" s="611"/>
    </row>
    <row r="204" spans="1:40">
      <c r="A204" s="606"/>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7"/>
      <c r="AD204" s="2455"/>
      <c r="AE204" s="2455"/>
      <c r="AF204" s="2455"/>
      <c r="AG204" s="2455"/>
      <c r="AH204" s="2455"/>
      <c r="AI204" s="2455"/>
      <c r="AJ204" s="2455"/>
      <c r="AK204" s="611"/>
    </row>
    <row r="205" spans="1:40">
      <c r="A205" s="606"/>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7"/>
      <c r="AD205" s="2455"/>
      <c r="AE205" s="2455"/>
      <c r="AF205" s="2455"/>
      <c r="AG205" s="2455"/>
      <c r="AH205" s="2455"/>
      <c r="AI205" s="2455"/>
      <c r="AJ205" s="2455"/>
      <c r="AK205" s="611"/>
    </row>
    <row r="206" spans="1:40">
      <c r="A206" s="606"/>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7"/>
      <c r="AD206" s="2455"/>
      <c r="AE206" s="2455"/>
      <c r="AF206" s="2455"/>
      <c r="AG206" s="2455"/>
      <c r="AH206" s="2455"/>
      <c r="AI206" s="2455"/>
      <c r="AJ206" s="2455"/>
      <c r="AK206" s="611"/>
    </row>
    <row r="207" spans="1:40">
      <c r="A207" s="606"/>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7"/>
      <c r="AD207" s="2455"/>
      <c r="AE207" s="2455"/>
      <c r="AF207" s="2455"/>
      <c r="AG207" s="2455"/>
      <c r="AH207" s="2455"/>
      <c r="AI207" s="2455"/>
      <c r="AJ207" s="2455"/>
      <c r="AK207" s="611"/>
    </row>
    <row r="208" spans="1:40">
      <c r="A208" s="606"/>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7"/>
      <c r="AD208" s="2455"/>
      <c r="AE208" s="2455"/>
      <c r="AF208" s="2455"/>
      <c r="AG208" s="2455"/>
      <c r="AH208" s="2455"/>
      <c r="AI208" s="2455"/>
      <c r="AJ208" s="2455"/>
      <c r="AK208" s="611"/>
    </row>
    <row r="209" spans="1:37">
      <c r="A209" s="606"/>
      <c r="B209" s="2465" t="s">
        <v>1628</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7"/>
      <c r="AD209" s="2484">
        <f>AB260</f>
        <v>0</v>
      </c>
      <c r="AE209" s="2484"/>
      <c r="AF209" s="2484"/>
      <c r="AG209" s="2484"/>
      <c r="AH209" s="2484"/>
      <c r="AI209" s="2484"/>
      <c r="AJ209" s="2484"/>
      <c r="AK209" s="611"/>
    </row>
    <row r="210" spans="1:37">
      <c r="A210" s="606"/>
      <c r="B210" s="2611" t="s">
        <v>1591</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7"/>
      <c r="AD210" s="2485">
        <f>'Sources and Uses Budget'!B15</f>
        <v>0</v>
      </c>
      <c r="AE210" s="2485"/>
      <c r="AF210" s="2485"/>
      <c r="AG210" s="2485"/>
      <c r="AH210" s="2485"/>
      <c r="AI210" s="2485"/>
      <c r="AJ210" s="248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9">
        <f>SUM(AD199:AJ209)-AD210</f>
        <v>52726908</v>
      </c>
      <c r="AE211" s="2489"/>
      <c r="AF211" s="2489"/>
      <c r="AG211" s="2489"/>
      <c r="AH211" s="2489"/>
      <c r="AI211" s="2489"/>
      <c r="AJ211" s="248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8" t="s">
        <v>1608</v>
      </c>
      <c r="J222" s="2458"/>
      <c r="K222" s="2458"/>
      <c r="L222" s="537"/>
      <c r="M222" s="537"/>
      <c r="N222" s="537"/>
      <c r="O222" s="537"/>
      <c r="P222" s="537"/>
      <c r="Q222" s="537"/>
      <c r="R222" s="537"/>
      <c r="S222" s="537"/>
      <c r="T222" s="2646" t="s">
        <v>1602</v>
      </c>
      <c r="U222" s="2646"/>
      <c r="V222" s="2646"/>
      <c r="W222" s="2646"/>
      <c r="X222" s="2646"/>
      <c r="Y222" s="2646"/>
      <c r="Z222" s="850"/>
      <c r="AA222" s="490"/>
      <c r="AB222" s="2453" t="s">
        <v>1603</v>
      </c>
      <c r="AC222" s="2453"/>
      <c r="AD222" s="2453"/>
      <c r="AE222" s="2453"/>
      <c r="AF222" s="2453"/>
      <c r="AG222" s="2453"/>
      <c r="AH222" s="828"/>
      <c r="AI222" s="828"/>
      <c r="AJ222" s="828"/>
      <c r="AK222" s="611"/>
    </row>
    <row r="223" spans="1:37">
      <c r="A223" s="606"/>
      <c r="B223" s="2456" t="s">
        <v>1588</v>
      </c>
      <c r="C223" s="2456"/>
      <c r="D223" s="2456"/>
      <c r="E223" s="2456"/>
      <c r="F223" s="2456"/>
      <c r="G223" s="2456"/>
      <c r="I223" s="2457" t="s">
        <v>1609</v>
      </c>
      <c r="J223" s="2457"/>
      <c r="K223" s="2457"/>
      <c r="L223" s="1009"/>
      <c r="N223" s="2463" t="s">
        <v>1604</v>
      </c>
      <c r="O223" s="2463"/>
      <c r="P223" s="2463"/>
      <c r="Q223" s="2463"/>
      <c r="R223" s="2463"/>
      <c r="T223" s="2463" t="s">
        <v>1605</v>
      </c>
      <c r="U223" s="2463"/>
      <c r="V223" s="2463"/>
      <c r="W223" s="2463"/>
      <c r="X223" s="2463"/>
      <c r="Y223" s="2463"/>
      <c r="Z223" s="851"/>
      <c r="AA223" s="490"/>
      <c r="AB223" s="2600" t="s">
        <v>1606</v>
      </c>
      <c r="AC223" s="2600"/>
      <c r="AD223" s="2600"/>
      <c r="AE223" s="2600"/>
      <c r="AF223" s="2600"/>
      <c r="AG223" s="2600"/>
      <c r="AH223" s="828"/>
      <c r="AI223" s="828"/>
      <c r="AJ223" s="828"/>
      <c r="AK223" s="611"/>
    </row>
    <row r="224" spans="1:37">
      <c r="A224" s="606"/>
      <c r="B224" s="2460" t="s">
        <v>1185</v>
      </c>
      <c r="C224" s="2460"/>
      <c r="D224" s="2460"/>
      <c r="E224" s="2460"/>
      <c r="F224" s="2460"/>
      <c r="G224" s="2460"/>
      <c r="H224" s="853"/>
      <c r="I224" s="2459"/>
      <c r="J224" s="2459"/>
      <c r="K224" s="2459"/>
      <c r="L224" s="1009"/>
      <c r="N224" s="2464"/>
      <c r="O224" s="2464"/>
      <c r="P224" s="2464"/>
      <c r="Q224" s="2464"/>
      <c r="R224" s="2464"/>
      <c r="T224" s="2612"/>
      <c r="U224" s="2612"/>
      <c r="V224" s="2612"/>
      <c r="W224" s="2612"/>
      <c r="X224" s="2612"/>
      <c r="Y224" s="2612"/>
      <c r="Z224" s="852"/>
      <c r="AA224" s="852"/>
      <c r="AB224" s="2461">
        <f t="shared" ref="AB224:AB233" si="0">MAX(($T224-$N224)*$I224*12,0)</f>
        <v>0</v>
      </c>
      <c r="AC224" s="2461"/>
      <c r="AD224" s="2461"/>
      <c r="AE224" s="2461"/>
      <c r="AF224" s="2461"/>
      <c r="AG224" s="2461"/>
      <c r="AH224" s="828"/>
      <c r="AI224" s="828"/>
      <c r="AJ224" s="828"/>
      <c r="AK224" s="611"/>
    </row>
    <row r="225" spans="1:37">
      <c r="A225" s="606"/>
      <c r="B225" s="2460" t="s">
        <v>1185</v>
      </c>
      <c r="C225" s="2460"/>
      <c r="D225" s="2460"/>
      <c r="E225" s="2460"/>
      <c r="F225" s="2460"/>
      <c r="G225" s="2460"/>
      <c r="I225" s="2459"/>
      <c r="J225" s="2459"/>
      <c r="K225" s="2459"/>
      <c r="L225" s="1009"/>
      <c r="N225" s="2464"/>
      <c r="O225" s="2464"/>
      <c r="P225" s="2464"/>
      <c r="Q225" s="2464"/>
      <c r="R225" s="2464"/>
      <c r="T225" s="2612"/>
      <c r="U225" s="2612"/>
      <c r="V225" s="2612"/>
      <c r="W225" s="2612"/>
      <c r="X225" s="2612"/>
      <c r="Y225" s="2612"/>
      <c r="Z225" s="852"/>
      <c r="AA225" s="852"/>
      <c r="AB225" s="2461">
        <f t="shared" si="0"/>
        <v>0</v>
      </c>
      <c r="AC225" s="2461"/>
      <c r="AD225" s="2461"/>
      <c r="AE225" s="2461"/>
      <c r="AF225" s="2461"/>
      <c r="AG225" s="2461"/>
      <c r="AH225" s="828"/>
      <c r="AI225" s="828"/>
      <c r="AJ225" s="828"/>
      <c r="AK225" s="611"/>
    </row>
    <row r="226" spans="1:37">
      <c r="A226" s="606"/>
      <c r="B226" s="2460" t="s">
        <v>1185</v>
      </c>
      <c r="C226" s="2460"/>
      <c r="D226" s="2460"/>
      <c r="E226" s="2460"/>
      <c r="F226" s="2460"/>
      <c r="G226" s="2460"/>
      <c r="I226" s="2459"/>
      <c r="J226" s="2459"/>
      <c r="K226" s="2459"/>
      <c r="L226" s="1009"/>
      <c r="N226" s="2464"/>
      <c r="O226" s="2464"/>
      <c r="P226" s="2464"/>
      <c r="Q226" s="2464"/>
      <c r="R226" s="2464"/>
      <c r="T226" s="2612"/>
      <c r="U226" s="2612"/>
      <c r="V226" s="2612"/>
      <c r="W226" s="2612"/>
      <c r="X226" s="2612"/>
      <c r="Y226" s="2612"/>
      <c r="Z226" s="852"/>
      <c r="AA226" s="852"/>
      <c r="AB226" s="2461">
        <f t="shared" si="0"/>
        <v>0</v>
      </c>
      <c r="AC226" s="2461"/>
      <c r="AD226" s="2461"/>
      <c r="AE226" s="2461"/>
      <c r="AF226" s="2461"/>
      <c r="AG226" s="2461"/>
      <c r="AH226" s="828"/>
      <c r="AI226" s="828"/>
      <c r="AJ226" s="828"/>
      <c r="AK226" s="611"/>
    </row>
    <row r="227" spans="1:37">
      <c r="A227" s="606"/>
      <c r="B227" s="2460" t="s">
        <v>1185</v>
      </c>
      <c r="C227" s="2460"/>
      <c r="D227" s="2460"/>
      <c r="E227" s="2460"/>
      <c r="F227" s="2460"/>
      <c r="G227" s="2460"/>
      <c r="I227" s="2459"/>
      <c r="J227" s="2459"/>
      <c r="K227" s="2459"/>
      <c r="L227" s="1009"/>
      <c r="N227" s="2464"/>
      <c r="O227" s="2464"/>
      <c r="P227" s="2464"/>
      <c r="Q227" s="2464"/>
      <c r="R227" s="2464"/>
      <c r="T227" s="2612"/>
      <c r="U227" s="2612"/>
      <c r="V227" s="2612"/>
      <c r="W227" s="2612"/>
      <c r="X227" s="2612"/>
      <c r="Y227" s="2612"/>
      <c r="Z227" s="852"/>
      <c r="AA227" s="852"/>
      <c r="AB227" s="2461">
        <f t="shared" si="0"/>
        <v>0</v>
      </c>
      <c r="AC227" s="2461"/>
      <c r="AD227" s="2461"/>
      <c r="AE227" s="2461"/>
      <c r="AF227" s="2461"/>
      <c r="AG227" s="2461"/>
      <c r="AH227" s="828"/>
      <c r="AI227" s="828"/>
      <c r="AJ227" s="828"/>
      <c r="AK227" s="611"/>
    </row>
    <row r="228" spans="1:37">
      <c r="A228" s="606"/>
      <c r="B228" s="2460" t="s">
        <v>1185</v>
      </c>
      <c r="C228" s="2460"/>
      <c r="D228" s="2460"/>
      <c r="E228" s="2460"/>
      <c r="F228" s="2460"/>
      <c r="G228" s="2460"/>
      <c r="I228" s="2459"/>
      <c r="J228" s="2459"/>
      <c r="K228" s="2459"/>
      <c r="L228" s="1016"/>
      <c r="N228" s="2464"/>
      <c r="O228" s="2464"/>
      <c r="P228" s="2464"/>
      <c r="Q228" s="2464"/>
      <c r="R228" s="2464"/>
      <c r="T228" s="2612"/>
      <c r="U228" s="2612"/>
      <c r="V228" s="2612"/>
      <c r="W228" s="2612"/>
      <c r="X228" s="2612"/>
      <c r="Y228" s="2612"/>
      <c r="Z228" s="852"/>
      <c r="AA228" s="852"/>
      <c r="AB228" s="2461">
        <f t="shared" si="0"/>
        <v>0</v>
      </c>
      <c r="AC228" s="2461"/>
      <c r="AD228" s="2461"/>
      <c r="AE228" s="2461"/>
      <c r="AF228" s="2461"/>
      <c r="AG228" s="2461"/>
      <c r="AH228" s="828"/>
      <c r="AI228" s="828"/>
      <c r="AJ228" s="828"/>
      <c r="AK228" s="611"/>
    </row>
    <row r="229" spans="1:37">
      <c r="A229" s="606"/>
      <c r="B229" s="2460" t="s">
        <v>1185</v>
      </c>
      <c r="C229" s="2460"/>
      <c r="D229" s="2460"/>
      <c r="E229" s="2460"/>
      <c r="F229" s="2460"/>
      <c r="G229" s="2460"/>
      <c r="I229" s="2459"/>
      <c r="J229" s="2459"/>
      <c r="K229" s="2459"/>
      <c r="L229" s="1016"/>
      <c r="N229" s="2464"/>
      <c r="O229" s="2464"/>
      <c r="P229" s="2464"/>
      <c r="Q229" s="2464"/>
      <c r="R229" s="2464"/>
      <c r="T229" s="2612"/>
      <c r="U229" s="2612"/>
      <c r="V229" s="2612"/>
      <c r="W229" s="2612"/>
      <c r="X229" s="2612"/>
      <c r="Y229" s="2612"/>
      <c r="Z229" s="852"/>
      <c r="AA229" s="852"/>
      <c r="AB229" s="2461">
        <f t="shared" si="0"/>
        <v>0</v>
      </c>
      <c r="AC229" s="2461"/>
      <c r="AD229" s="2461"/>
      <c r="AE229" s="2461"/>
      <c r="AF229" s="2461"/>
      <c r="AG229" s="2461"/>
      <c r="AH229" s="828"/>
      <c r="AI229" s="828"/>
      <c r="AJ229" s="828"/>
      <c r="AK229" s="611"/>
    </row>
    <row r="230" spans="1:37">
      <c r="A230" s="606"/>
      <c r="B230" s="2460" t="s">
        <v>1185</v>
      </c>
      <c r="C230" s="2460"/>
      <c r="D230" s="2460"/>
      <c r="E230" s="2460"/>
      <c r="F230" s="2460"/>
      <c r="G230" s="2460"/>
      <c r="I230" s="2459"/>
      <c r="J230" s="2459"/>
      <c r="K230" s="2459"/>
      <c r="L230" s="1016"/>
      <c r="N230" s="2464"/>
      <c r="O230" s="2464"/>
      <c r="P230" s="2464"/>
      <c r="Q230" s="2464"/>
      <c r="R230" s="2464"/>
      <c r="T230" s="2612"/>
      <c r="U230" s="2612"/>
      <c r="V230" s="2612"/>
      <c r="W230" s="2612"/>
      <c r="X230" s="2612"/>
      <c r="Y230" s="2612"/>
      <c r="Z230" s="852"/>
      <c r="AA230" s="852"/>
      <c r="AB230" s="2461">
        <f t="shared" si="0"/>
        <v>0</v>
      </c>
      <c r="AC230" s="2461"/>
      <c r="AD230" s="2461"/>
      <c r="AE230" s="2461"/>
      <c r="AF230" s="2461"/>
      <c r="AG230" s="2461"/>
      <c r="AH230" s="828"/>
      <c r="AI230" s="828"/>
      <c r="AJ230" s="828"/>
      <c r="AK230" s="611"/>
    </row>
    <row r="231" spans="1:37">
      <c r="A231" s="606"/>
      <c r="B231" s="2460" t="s">
        <v>1185</v>
      </c>
      <c r="C231" s="2460"/>
      <c r="D231" s="2460"/>
      <c r="E231" s="2460"/>
      <c r="F231" s="2460"/>
      <c r="G231" s="2460"/>
      <c r="I231" s="2459"/>
      <c r="J231" s="2459"/>
      <c r="K231" s="2459"/>
      <c r="L231" s="1016"/>
      <c r="N231" s="2464"/>
      <c r="O231" s="2464"/>
      <c r="P231" s="2464"/>
      <c r="Q231" s="2464"/>
      <c r="R231" s="2464"/>
      <c r="T231" s="2612"/>
      <c r="U231" s="2612"/>
      <c r="V231" s="2612"/>
      <c r="W231" s="2612"/>
      <c r="X231" s="2612"/>
      <c r="Y231" s="2612"/>
      <c r="Z231" s="852"/>
      <c r="AA231" s="852"/>
      <c r="AB231" s="2461">
        <f t="shared" si="0"/>
        <v>0</v>
      </c>
      <c r="AC231" s="2461"/>
      <c r="AD231" s="2461"/>
      <c r="AE231" s="2461"/>
      <c r="AF231" s="2461"/>
      <c r="AG231" s="2461"/>
      <c r="AH231" s="828"/>
      <c r="AI231" s="828"/>
      <c r="AJ231" s="828"/>
      <c r="AK231" s="611"/>
    </row>
    <row r="232" spans="1:37">
      <c r="A232" s="606"/>
      <c r="B232" s="2460" t="s">
        <v>1185</v>
      </c>
      <c r="C232" s="2460"/>
      <c r="D232" s="2460"/>
      <c r="E232" s="2460"/>
      <c r="F232" s="2460"/>
      <c r="G232" s="2460"/>
      <c r="I232" s="2459"/>
      <c r="J232" s="2459"/>
      <c r="K232" s="2459"/>
      <c r="L232" s="1016"/>
      <c r="N232" s="2464"/>
      <c r="O232" s="2464"/>
      <c r="P232" s="2464"/>
      <c r="Q232" s="2464"/>
      <c r="R232" s="2464"/>
      <c r="T232" s="2612"/>
      <c r="U232" s="2612"/>
      <c r="V232" s="2612"/>
      <c r="W232" s="2612"/>
      <c r="X232" s="2612"/>
      <c r="Y232" s="2612"/>
      <c r="Z232" s="852"/>
      <c r="AA232" s="852"/>
      <c r="AB232" s="2461">
        <f t="shared" si="0"/>
        <v>0</v>
      </c>
      <c r="AC232" s="2461"/>
      <c r="AD232" s="2461"/>
      <c r="AE232" s="2461"/>
      <c r="AF232" s="2461"/>
      <c r="AG232" s="2461"/>
      <c r="AH232" s="828"/>
      <c r="AI232" s="828"/>
      <c r="AJ232" s="828"/>
      <c r="AK232" s="611"/>
    </row>
    <row r="233" spans="1:37">
      <c r="A233" s="606"/>
      <c r="B233" s="2460" t="s">
        <v>1185</v>
      </c>
      <c r="C233" s="2460"/>
      <c r="D233" s="2460"/>
      <c r="E233" s="2460"/>
      <c r="F233" s="2460"/>
      <c r="G233" s="2460"/>
      <c r="I233" s="2462"/>
      <c r="J233" s="2462"/>
      <c r="K233" s="2462"/>
      <c r="L233" s="1016"/>
      <c r="N233" s="2464"/>
      <c r="O233" s="2464"/>
      <c r="P233" s="2464"/>
      <c r="Q233" s="2464"/>
      <c r="R233" s="2464"/>
      <c r="T233" s="2612"/>
      <c r="U233" s="2612"/>
      <c r="V233" s="2612"/>
      <c r="W233" s="2612"/>
      <c r="X233" s="2612"/>
      <c r="Y233" s="2612"/>
      <c r="Z233" s="852"/>
      <c r="AA233" s="852"/>
      <c r="AB233" s="2610">
        <f t="shared" si="0"/>
        <v>0</v>
      </c>
      <c r="AC233" s="2610"/>
      <c r="AD233" s="2610"/>
      <c r="AE233" s="2610"/>
      <c r="AF233" s="2610"/>
      <c r="AG233" s="261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1">
        <f>SUM(AB224:AB233)</f>
        <v>0</v>
      </c>
      <c r="AC234" s="2461"/>
      <c r="AD234" s="2461"/>
      <c r="AE234" s="2461"/>
      <c r="AF234" s="2461"/>
      <c r="AG234" s="246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3"/>
      <c r="AC240" s="2613"/>
      <c r="AD240" s="2613"/>
      <c r="AE240" s="2613"/>
      <c r="AF240" s="2613"/>
      <c r="AG240" s="2613"/>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3"/>
      <c r="AC243" s="2613"/>
      <c r="AD243" s="2613"/>
      <c r="AE243" s="2613"/>
      <c r="AF243" s="2613"/>
      <c r="AG243" s="2613"/>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5"/>
      <c r="AC244" s="2645"/>
      <c r="AD244" s="2645"/>
      <c r="AE244" s="2645"/>
      <c r="AF244" s="2645"/>
      <c r="AG244" s="2645"/>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7">
        <f>IFERROR(AB243/AB244,0)</f>
        <v>0</v>
      </c>
      <c r="AC245" s="2627"/>
      <c r="AD245" s="2627"/>
      <c r="AE245" s="2627"/>
      <c r="AF245" s="2627"/>
      <c r="AG245" s="262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0">
        <f>MAX(AB240,AB245)</f>
        <v>0</v>
      </c>
      <c r="AC247" s="2610"/>
      <c r="AD247" s="2610"/>
      <c r="AE247" s="2610"/>
      <c r="AF247" s="2610"/>
      <c r="AG247" s="261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1">
        <f>AB234+AB247</f>
        <v>0</v>
      </c>
      <c r="AC250" s="2461"/>
      <c r="AD250" s="2461"/>
      <c r="AE250" s="2461"/>
      <c r="AF250" s="2461"/>
      <c r="AG250" s="246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3">
        <v>0.05</v>
      </c>
      <c r="AC251" s="2493"/>
      <c r="AD251" s="2493"/>
      <c r="AE251" s="2493"/>
      <c r="AF251" s="2493"/>
      <c r="AG251" s="2493"/>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4">
        <f>AB250-(AB250*AB251)</f>
        <v>0</v>
      </c>
      <c r="AC252" s="2494"/>
      <c r="AD252" s="2494"/>
      <c r="AE252" s="2494"/>
      <c r="AF252" s="2494"/>
      <c r="AG252" s="2494"/>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1">
        <f>AB252/AB258</f>
        <v>0</v>
      </c>
      <c r="AC254" s="2461"/>
      <c r="AD254" s="2461"/>
      <c r="AE254" s="2461"/>
      <c r="AF254" s="2461"/>
      <c r="AG254" s="246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3">
        <v>15</v>
      </c>
      <c r="AC256" s="2453"/>
      <c r="AD256" s="2453"/>
      <c r="AE256" s="2453"/>
      <c r="AF256" s="2453"/>
      <c r="AG256" s="2453"/>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5">
        <v>0.04</v>
      </c>
      <c r="AC257" s="2495"/>
      <c r="AD257" s="2495"/>
      <c r="AE257" s="2495"/>
      <c r="AF257" s="2495"/>
      <c r="AG257" s="249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6">
        <v>1.1499999999999999</v>
      </c>
      <c r="AC258" s="2466"/>
      <c r="AD258" s="2466"/>
      <c r="AE258" s="2466"/>
      <c r="AF258" s="2466"/>
      <c r="AG258" s="246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6">
        <f>PV(AB257/12,AB256*12,-AB254/12, ,0)</f>
        <v>0</v>
      </c>
      <c r="AC260" s="2487"/>
      <c r="AD260" s="2487"/>
      <c r="AE260" s="2487"/>
      <c r="AF260" s="2487"/>
      <c r="AG260" s="248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0">
        <f ca="1">IFERROR(('Sources and Uses Budget'!D105/'Sources and Uses Budget'!B105),0)</f>
        <v>1.3429205448496361E-2</v>
      </c>
      <c r="AC266" s="2491"/>
      <c r="AD266" s="2491"/>
      <c r="AE266" s="2491"/>
      <c r="AF266" s="2491"/>
      <c r="AG266" s="249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0">
        <f ca="1">AD211*(1-AB266)</f>
        <v>52018827.519804031</v>
      </c>
      <c r="AH268" s="2480"/>
      <c r="AI268" s="2480"/>
      <c r="AJ268" s="2480"/>
      <c r="AK268" s="2480"/>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0">
        <f ca="1">'Sources and Uses Budget'!C105</f>
        <v>99054997</v>
      </c>
      <c r="AH269" s="2480"/>
      <c r="AI269" s="2480"/>
      <c r="AJ269" s="2480"/>
      <c r="AK269" s="248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1">
        <f ca="1">ROUNDDOWN(IF(AND(C292="Yes",AK84=10),((AG268*2)/AG269),AG268/AG269),2)</f>
        <v>0.52</v>
      </c>
      <c r="AH270" s="2481"/>
      <c r="AI270" s="2481"/>
      <c r="AJ270" s="2481"/>
      <c r="AK270" s="2481"/>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2">
        <f ca="1">IFERROR(IF(AG270=0,0,IF((AG270*100)&gt;8,8,(AG270*100))),0)</f>
        <v>8</v>
      </c>
      <c r="AL273" s="2482"/>
      <c r="AM273" s="248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4" t="s">
        <v>546</v>
      </c>
      <c r="D278" s="2474"/>
      <c r="E278" s="548"/>
      <c r="F278" s="2631" t="s">
        <v>2027</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1"/>
      <c r="AF278" s="636"/>
      <c r="AG278" s="2475" t="s">
        <v>1364</v>
      </c>
      <c r="AH278" s="2475"/>
      <c r="AI278" s="2475"/>
      <c r="AJ278" s="2475"/>
      <c r="AK278" s="551"/>
      <c r="AL278" s="551"/>
      <c r="AM278" s="551"/>
      <c r="AO278" s="551"/>
    </row>
    <row r="279" spans="1:52" ht="13.75" customHeight="1">
      <c r="A279" s="551"/>
      <c r="B279" s="597"/>
      <c r="C279" s="637"/>
      <c r="D279" s="551"/>
      <c r="E279" s="548"/>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1"/>
      <c r="AF279" s="636"/>
      <c r="AG279" s="636"/>
      <c r="AH279" s="636"/>
      <c r="AI279" s="636"/>
      <c r="AJ279" s="551"/>
      <c r="AK279" s="551"/>
      <c r="AL279" s="551"/>
      <c r="AM279" s="551"/>
      <c r="AO279" s="551"/>
    </row>
    <row r="280" spans="1:52">
      <c r="A280" s="551"/>
      <c r="B280" s="597"/>
      <c r="C280" s="637"/>
      <c r="D280" s="551"/>
      <c r="E280" s="548"/>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1"/>
      <c r="AF280" s="636"/>
      <c r="AG280" s="636"/>
      <c r="AH280" s="636"/>
      <c r="AI280" s="636"/>
      <c r="AJ280" s="551"/>
      <c r="AK280" s="551"/>
      <c r="AL280" s="551"/>
      <c r="AM280" s="551"/>
      <c r="AO280" s="551"/>
      <c r="AP280" s="638"/>
    </row>
    <row r="281" spans="1:52">
      <c r="A281" s="551"/>
      <c r="B281" s="597"/>
      <c r="C281" s="637"/>
      <c r="D281" s="551"/>
      <c r="E281" s="548"/>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1"/>
      <c r="AF281" s="636"/>
      <c r="AG281" s="636"/>
      <c r="AH281" s="636"/>
      <c r="AI281" s="636"/>
      <c r="AJ281" s="551"/>
      <c r="AK281" s="551"/>
      <c r="AL281" s="551"/>
      <c r="AM281" s="551"/>
      <c r="AO281" s="551"/>
      <c r="AP281" s="638"/>
    </row>
    <row r="282" spans="1:52" ht="13.75" customHeight="1">
      <c r="A282" s="551"/>
      <c r="B282" s="597"/>
      <c r="C282" s="2476"/>
      <c r="D282" s="2476"/>
      <c r="E282" s="548"/>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1"/>
      <c r="AF282" s="636"/>
      <c r="AG282" s="2475"/>
      <c r="AH282" s="2475"/>
      <c r="AI282" s="2475"/>
      <c r="AJ282" s="2475"/>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2">
        <f>IF($C$278="yes",10,0)</f>
        <v>10</v>
      </c>
      <c r="AL285" s="2482"/>
      <c r="AM285" s="248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1383</v>
      </c>
      <c r="B292" s="1628"/>
      <c r="C292" s="2470" t="s">
        <v>592</v>
      </c>
      <c r="D292" s="2474"/>
      <c r="E292" s="548"/>
      <c r="F292" s="2502" t="s">
        <v>1384</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3"/>
      <c r="AF292" s="551"/>
      <c r="AG292" s="2505" t="s">
        <v>2020</v>
      </c>
      <c r="AH292" s="2505"/>
      <c r="AI292" s="2505"/>
      <c r="AJ292" s="2505"/>
      <c r="AK292" s="2505"/>
      <c r="AL292" s="551"/>
      <c r="AM292" s="551"/>
      <c r="AN292" s="73"/>
      <c r="AO292" s="14"/>
      <c r="AP292" s="30"/>
      <c r="AS292" s="571"/>
      <c r="AT292" s="571"/>
      <c r="AU292" s="571"/>
      <c r="AV292" s="32"/>
      <c r="AW292" s="32"/>
    </row>
    <row r="293" spans="1:49" ht="13">
      <c r="A293" s="641"/>
      <c r="B293" s="597"/>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6" t="s">
        <v>2028</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6" t="s">
        <v>1385</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6" t="s">
        <v>1386</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1387</v>
      </c>
      <c r="B302" s="1628"/>
      <c r="C302" s="2474" t="s">
        <v>546</v>
      </c>
      <c r="D302" s="247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4" t="s">
        <v>2022</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2"/>
      <c r="AF303" s="552"/>
      <c r="AG303" s="552"/>
      <c r="AH303" s="552"/>
      <c r="AI303" s="552"/>
      <c r="AJ303" s="551"/>
      <c r="AK303" s="551"/>
      <c r="AL303" s="551"/>
      <c r="AM303" s="551"/>
      <c r="AR303" s="649"/>
    </row>
    <row r="304" spans="1:49" ht="15" customHeight="1">
      <c r="A304" s="551"/>
      <c r="B304" s="552"/>
      <c r="C304" s="551"/>
      <c r="D304" s="552"/>
      <c r="E304" s="551"/>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2"/>
      <c r="AF304" s="552"/>
      <c r="AG304" s="552"/>
      <c r="AH304" s="552"/>
      <c r="AI304" s="552"/>
      <c r="AJ304" s="551"/>
      <c r="AK304" s="551"/>
      <c r="AL304" s="551"/>
      <c r="AM304" s="551"/>
      <c r="AR304" s="649"/>
    </row>
    <row r="305" spans="1:44">
      <c r="A305" s="551"/>
      <c r="B305" s="552"/>
      <c r="C305" s="551"/>
      <c r="D305" s="552"/>
      <c r="E305" s="551"/>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8" t="s">
        <v>1390</v>
      </c>
      <c r="B310" s="1628"/>
      <c r="C310" s="2474" t="s">
        <v>592</v>
      </c>
      <c r="D310" s="247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6" t="s">
        <v>2029</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2"/>
      <c r="AF311" s="552"/>
      <c r="AG311" s="540"/>
      <c r="AH311" s="552"/>
      <c r="AI311" s="552"/>
      <c r="AJ311" s="551"/>
      <c r="AK311" s="551"/>
      <c r="AL311" s="551"/>
      <c r="AM311" s="551"/>
      <c r="AN311" s="73"/>
      <c r="AO311" s="14"/>
      <c r="AP311" s="558" t="s">
        <v>1185</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6" t="s">
        <v>1185</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3"/>
      <c r="AF316" s="643"/>
      <c r="AG316" s="643"/>
      <c r="AH316" s="643"/>
      <c r="AI316" s="643"/>
      <c r="AJ316" s="643"/>
      <c r="AK316" s="643"/>
      <c r="AL316" s="551"/>
      <c r="AM316" s="551"/>
      <c r="AN316" s="73"/>
      <c r="AO316" s="14"/>
      <c r="AP316" s="30"/>
    </row>
    <row r="317" spans="1:44" ht="13" hidden="1">
      <c r="A317" s="551"/>
      <c r="B317" s="552"/>
      <c r="C317" s="731"/>
      <c r="D317" s="731"/>
      <c r="E317" s="548"/>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2"/>
      <c r="AF317" s="552"/>
      <c r="AG317" s="540"/>
      <c r="AH317" s="552"/>
      <c r="AI317" s="552"/>
      <c r="AJ317" s="551"/>
      <c r="AK317" s="551"/>
      <c r="AL317" s="551"/>
      <c r="AM317" s="551"/>
      <c r="AN317" s="73"/>
      <c r="AO317" s="14"/>
      <c r="AP317" s="30"/>
    </row>
    <row r="318" spans="1:44" ht="13" hidden="1">
      <c r="A318" s="551"/>
      <c r="B318" s="552"/>
      <c r="C318" s="731"/>
      <c r="D318" s="731"/>
      <c r="E318" s="548"/>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2"/>
      <c r="AF318" s="552"/>
      <c r="AG318" s="540"/>
      <c r="AH318" s="552"/>
      <c r="AI318" s="552"/>
      <c r="AJ318" s="551"/>
      <c r="AK318" s="551"/>
      <c r="AL318" s="551"/>
      <c r="AM318" s="551"/>
      <c r="AN318" s="73"/>
      <c r="AO318" s="14"/>
      <c r="AP318" s="30"/>
    </row>
    <row r="319" spans="1:44" ht="13" hidden="1">
      <c r="A319" s="551"/>
      <c r="B319" s="552"/>
      <c r="C319" s="731"/>
      <c r="D319" s="731"/>
      <c r="E319" s="548"/>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2"/>
      <c r="AF319" s="552"/>
      <c r="AG319" s="540"/>
      <c r="AH319" s="552"/>
      <c r="AI319" s="552"/>
      <c r="AJ319" s="551"/>
      <c r="AK319" s="551"/>
      <c r="AL319" s="551"/>
      <c r="AM319" s="551"/>
      <c r="AN319" s="73"/>
      <c r="AO319" s="14"/>
      <c r="AP319" s="30"/>
    </row>
    <row r="320" spans="1:44" ht="13" hidden="1">
      <c r="A320" s="551"/>
      <c r="B320" s="552"/>
      <c r="C320" s="731"/>
      <c r="D320" s="731"/>
      <c r="E320" s="548"/>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2" t="s">
        <v>1185</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2" t="s">
        <v>1185</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8" t="s">
        <v>1393</v>
      </c>
      <c r="B333" s="1628"/>
      <c r="C333" s="2474" t="s">
        <v>592</v>
      </c>
      <c r="D333" s="2474"/>
      <c r="E333" s="548"/>
      <c r="F333" s="2398" t="s">
        <v>2030</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2"/>
      <c r="AF334" s="552"/>
      <c r="AG334" s="552"/>
      <c r="AH334" s="552"/>
      <c r="AI334" s="552"/>
      <c r="AJ334" s="551"/>
      <c r="AK334" s="551"/>
      <c r="AL334" s="551"/>
      <c r="AM334" s="551"/>
      <c r="AN334" s="73"/>
      <c r="AO334" s="14"/>
    </row>
    <row r="335" spans="1:42" ht="15" hidden="1" customHeight="1">
      <c r="A335" s="551"/>
      <c r="B335" s="552"/>
      <c r="C335" s="552"/>
      <c r="D335" s="552"/>
      <c r="E335" s="552"/>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7">
        <f>IF(NOT(OR(Application!M355="Yes",Application!M356="Yes")),0,AP295)</f>
        <v>9</v>
      </c>
      <c r="AL338" s="2478"/>
      <c r="AM338" s="247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7" t="s">
        <v>1315</v>
      </c>
      <c r="AF341" s="2407"/>
      <c r="AG341" s="2407"/>
      <c r="AH341" s="2407"/>
      <c r="AI341" s="2407"/>
      <c r="AJ341" s="2407"/>
      <c r="AK341" s="240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6" t="s">
        <v>1455</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4"/>
      <c r="AL343" s="604"/>
      <c r="AM343" s="604"/>
      <c r="AN343" s="598"/>
    </row>
    <row r="344" spans="1:44" s="551" customFormat="1" ht="12.75" customHeight="1">
      <c r="A344" s="604"/>
      <c r="B344" s="612"/>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4"/>
      <c r="AL344" s="604"/>
      <c r="AM344" s="604"/>
      <c r="AN344" s="598"/>
    </row>
    <row r="345" spans="1:44" s="551" customFormat="1" ht="12.75" customHeight="1">
      <c r="A345" s="604"/>
      <c r="B345" s="612"/>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4"/>
      <c r="AL345" s="604"/>
      <c r="AM345" s="604"/>
      <c r="AN345" s="598"/>
      <c r="AQ345" s="571"/>
    </row>
    <row r="346" spans="1:44" s="551" customFormat="1" ht="12.75" customHeight="1">
      <c r="A346" s="604"/>
      <c r="B346" s="612"/>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4"/>
      <c r="AL346" s="604"/>
      <c r="AM346" s="604"/>
      <c r="AN346" s="598"/>
      <c r="AQ346" s="571"/>
    </row>
    <row r="347" spans="1:44" s="551" customFormat="1" ht="12.4" customHeight="1">
      <c r="A347" s="604"/>
      <c r="B347" s="612"/>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4"/>
      <c r="AL347" s="604"/>
      <c r="AM347" s="604"/>
      <c r="AN347" s="598"/>
      <c r="AQ347" s="571"/>
      <c r="AR347" s="571"/>
    </row>
    <row r="348" spans="1:44" s="551" customFormat="1" ht="45.75" customHeight="1">
      <c r="A348" s="604"/>
      <c r="B348" s="612"/>
      <c r="C348" s="2516" t="s">
        <v>2095</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6" t="s">
        <v>2210</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4"/>
      <c r="AL350" s="604"/>
      <c r="AM350" s="604"/>
      <c r="AN350" s="598"/>
      <c r="AQ350" s="571"/>
      <c r="AR350" s="571"/>
    </row>
    <row r="351" spans="1:44" s="551" customFormat="1" ht="30" customHeight="1">
      <c r="A351" s="604"/>
      <c r="B351" s="612"/>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4"/>
      <c r="AL351" s="604"/>
      <c r="AM351" s="604"/>
      <c r="AN351" s="598"/>
      <c r="AR351" s="571"/>
    </row>
    <row r="352" spans="1:44" s="551" customFormat="1" ht="12.75" customHeight="1">
      <c r="A352" s="604"/>
      <c r="B352" s="612"/>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4"/>
      <c r="AL352" s="604"/>
      <c r="AM352" s="604"/>
      <c r="AN352" s="598"/>
      <c r="AR352" s="571"/>
    </row>
    <row r="353" spans="1:46" s="551" customFormat="1" ht="12.75" customHeight="1">
      <c r="A353" s="604"/>
      <c r="B353" s="612"/>
      <c r="C353" s="2516" t="s">
        <v>1456</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4"/>
      <c r="AL353" s="604"/>
      <c r="AM353" s="604"/>
      <c r="AN353" s="598"/>
      <c r="AQ353" s="571"/>
      <c r="AR353" s="571"/>
    </row>
    <row r="354" spans="1:46" s="551" customFormat="1" ht="12.75" customHeight="1">
      <c r="A354" s="604"/>
      <c r="B354" s="612"/>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4"/>
      <c r="AL354" s="604"/>
      <c r="AM354" s="604"/>
      <c r="AN354" s="598"/>
      <c r="AQ354" s="571"/>
      <c r="AR354" s="571"/>
    </row>
    <row r="355" spans="1:46" s="551" customFormat="1" ht="13.15" customHeight="1">
      <c r="A355" s="604"/>
      <c r="B355" s="612"/>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4"/>
      <c r="AL355" s="604"/>
      <c r="AM355" s="604"/>
      <c r="AN355" s="598"/>
      <c r="AQ355" s="571"/>
      <c r="AR355" s="571"/>
    </row>
    <row r="356" spans="1:46" s="551" customFormat="1" ht="12.75" customHeight="1">
      <c r="A356" s="604"/>
      <c r="B356" s="612"/>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4"/>
      <c r="AL356" s="604"/>
      <c r="AM356" s="604"/>
      <c r="AN356" s="598"/>
      <c r="AO356" s="695"/>
      <c r="AP356" s="695"/>
      <c r="AQ356" s="571"/>
    </row>
    <row r="357" spans="1:46" s="551" customFormat="1" ht="11.9" customHeight="1">
      <c r="A357" s="604"/>
      <c r="B357" s="612"/>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4"/>
      <c r="AL357" s="604"/>
      <c r="AM357" s="604"/>
      <c r="AN357" s="598"/>
      <c r="AO357" s="696" t="s">
        <v>112</v>
      </c>
      <c r="AP357" s="697">
        <f>IF(C381="Yes",5,0)</f>
        <v>5</v>
      </c>
      <c r="AS357" s="540" t="s">
        <v>1457</v>
      </c>
    </row>
    <row r="358" spans="1:46" s="551" customFormat="1" ht="12.75" customHeight="1">
      <c r="A358" s="604"/>
      <c r="B358" s="612"/>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4"/>
      <c r="AL358" s="604"/>
      <c r="AM358" s="604"/>
      <c r="AN358" s="598"/>
      <c r="AO358" s="696" t="s">
        <v>113</v>
      </c>
      <c r="AP358" s="697">
        <f>IF(C389="Yes",5,0)</f>
        <v>0</v>
      </c>
      <c r="AS358" s="2537">
        <f>IF(Application!D211="Non-Targeted",(SUM(AQ366+AQ375)),AS362)</f>
        <v>10</v>
      </c>
      <c r="AT358" s="2537"/>
    </row>
    <row r="359" spans="1:46" s="551" customFormat="1" ht="12.75" customHeight="1">
      <c r="A359" s="604"/>
      <c r="B359" s="612"/>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4"/>
      <c r="AL359" s="604"/>
      <c r="AM359" s="604"/>
      <c r="AN359" s="598"/>
      <c r="AO359" s="696" t="s">
        <v>119</v>
      </c>
      <c r="AP359" s="697">
        <f>IF(C397="Yes",7,0)</f>
        <v>0</v>
      </c>
      <c r="AS359" s="540" t="s">
        <v>1458</v>
      </c>
    </row>
    <row r="360" spans="1:46" s="551" customFormat="1" ht="12.75" customHeight="1">
      <c r="A360" s="604"/>
      <c r="B360" s="612"/>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4"/>
      <c r="AL360" s="604"/>
      <c r="AM360" s="604"/>
      <c r="AN360" s="598"/>
      <c r="AO360" s="598"/>
      <c r="AP360" s="697">
        <f>IF(C399="Yes",5,0)</f>
        <v>5</v>
      </c>
      <c r="AS360" s="2537">
        <f>IF(AND(AQ366&gt;0,AQ375&gt;0),(AQ366+AQ375)/2,0)</f>
        <v>0</v>
      </c>
      <c r="AT360" s="2537"/>
    </row>
    <row r="361" spans="1:46" s="551" customFormat="1" ht="12.75" customHeight="1">
      <c r="A361" s="604"/>
      <c r="B361" s="612"/>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4"/>
      <c r="AL361" s="604"/>
      <c r="AM361" s="604"/>
      <c r="AN361" s="598"/>
      <c r="AO361" s="696" t="s">
        <v>582</v>
      </c>
      <c r="AP361" s="697">
        <f>IF(C407="Yes",5,0)</f>
        <v>0</v>
      </c>
      <c r="AS361" s="540" t="s">
        <v>1880</v>
      </c>
    </row>
    <row r="362" spans="1:46" s="551" customFormat="1" ht="12.75" customHeight="1">
      <c r="A362" s="604"/>
      <c r="B362" s="612"/>
      <c r="C362" s="2538" t="s">
        <v>2236</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4"/>
      <c r="AL362" s="604"/>
      <c r="AM362" s="604"/>
      <c r="AN362" s="598"/>
      <c r="AO362" s="598"/>
      <c r="AP362" s="697">
        <f>IF(C409="Yes",3,0)</f>
        <v>0</v>
      </c>
      <c r="AS362" s="2537">
        <f>IF(AQ366=0,AQ375,AQ366)</f>
        <v>10</v>
      </c>
      <c r="AT362" s="2537"/>
    </row>
    <row r="363" spans="1:46" s="551" customFormat="1" ht="12.75" customHeight="1">
      <c r="A363" s="604"/>
      <c r="B363" s="612"/>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4"/>
      <c r="AL363" s="604"/>
      <c r="AM363" s="604"/>
      <c r="AN363" s="598"/>
      <c r="AO363" s="696" t="s">
        <v>764</v>
      </c>
      <c r="AP363" s="697">
        <f>IF(C412="Yes",5,0)</f>
        <v>0</v>
      </c>
    </row>
    <row r="364" spans="1:46" s="551" customFormat="1" ht="12.75" customHeight="1">
      <c r="A364" s="604"/>
      <c r="B364" s="612"/>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4"/>
      <c r="AL364" s="604"/>
      <c r="AM364" s="604"/>
      <c r="AN364" s="598"/>
      <c r="AO364" s="696" t="s">
        <v>585</v>
      </c>
      <c r="AP364" s="697">
        <f>IF(C421="Yes",5,0)</f>
        <v>0</v>
      </c>
    </row>
    <row r="365" spans="1:46" s="551" customFormat="1" ht="11.9" customHeight="1">
      <c r="A365" s="604"/>
      <c r="B365" s="612"/>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4"/>
      <c r="AL365" s="604"/>
      <c r="AM365" s="604"/>
      <c r="AN365" s="598"/>
      <c r="AO365" s="698"/>
      <c r="AP365" s="699">
        <f>IF(C423="Yes",3,0)</f>
        <v>0</v>
      </c>
    </row>
    <row r="366" spans="1:46" s="551" customFormat="1" ht="12.4" customHeight="1">
      <c r="A366" s="604"/>
      <c r="B366" s="612"/>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4"/>
      <c r="AL366" s="604"/>
      <c r="AM366" s="604"/>
      <c r="AN366" s="598"/>
      <c r="AO366" s="700" t="s">
        <v>227</v>
      </c>
      <c r="AP366" s="701">
        <f>SUM(AP357:AP365)</f>
        <v>10</v>
      </c>
      <c r="AQ366" s="2539">
        <f>IF(AP366&gt;0,AP366,0)</f>
        <v>10</v>
      </c>
      <c r="AR366" s="2539"/>
    </row>
    <row r="367" spans="1:46" s="551" customFormat="1" ht="12.75" customHeight="1">
      <c r="A367" s="604"/>
      <c r="B367" s="612"/>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6" t="s">
        <v>1459</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4"/>
      <c r="AL369" s="604"/>
      <c r="AM369" s="604"/>
      <c r="AN369" s="598"/>
      <c r="AO369" s="696" t="s">
        <v>457</v>
      </c>
      <c r="AP369" s="697">
        <f>IF(C442="Yes",5,0)</f>
        <v>0</v>
      </c>
    </row>
    <row r="370" spans="1:81" s="551" customFormat="1" ht="12.75" customHeight="1">
      <c r="A370" s="604"/>
      <c r="B370" s="612"/>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4"/>
      <c r="AL370" s="604"/>
      <c r="AM370" s="604"/>
      <c r="AN370" s="598"/>
      <c r="AO370" s="696" t="s">
        <v>462</v>
      </c>
      <c r="AP370" s="697">
        <f>IF(C449="Yes",5,0)</f>
        <v>0</v>
      </c>
    </row>
    <row r="371" spans="1:81" s="551" customFormat="1" ht="68.150000000000006" customHeight="1">
      <c r="A371" s="604"/>
      <c r="B371" s="612"/>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4">
        <f>Application!DU802-U374</f>
        <v>194</v>
      </c>
      <c r="V373" s="2624"/>
      <c r="W373" s="2624"/>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5">
        <f>IF(Application!D211="SRO",Application!DU755,Application!AG756)</f>
        <v>0</v>
      </c>
      <c r="V374" s="2625"/>
      <c r="W374" s="262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9">
        <f>IF(AP375&gt;0,AP375,0)</f>
        <v>0</v>
      </c>
      <c r="AR375" s="2539"/>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0" t="s">
        <v>1461</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7" t="s">
        <v>546</v>
      </c>
      <c r="D381" s="247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8" t="s">
        <v>1463</v>
      </c>
      <c r="AG381" s="2518"/>
      <c r="AH381" s="2518"/>
      <c r="AI381" s="2518"/>
      <c r="AJ381" s="2518"/>
      <c r="AK381" s="2518"/>
      <c r="AL381" s="251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0" t="s">
        <v>1464</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3"/>
      <c r="AN388" s="598"/>
      <c r="BS388" s="30"/>
      <c r="BT388" s="30"/>
      <c r="BU388" s="14"/>
      <c r="BV388" s="14"/>
      <c r="BW388" s="14"/>
      <c r="BX388" s="14"/>
      <c r="BY388" s="14"/>
      <c r="BZ388" s="14"/>
      <c r="CA388" s="14"/>
      <c r="CB388" s="14"/>
      <c r="CC388" s="14"/>
    </row>
    <row r="389" spans="1:81" s="551" customFormat="1" ht="12.75" customHeight="1">
      <c r="A389" s="537"/>
      <c r="B389" s="14"/>
      <c r="C389" s="2517" t="s">
        <v>592</v>
      </c>
      <c r="D389" s="247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8" t="s">
        <v>1463</v>
      </c>
      <c r="AG389" s="2518"/>
      <c r="AH389" s="2518"/>
      <c r="AI389" s="2518"/>
      <c r="AJ389" s="2518"/>
      <c r="AK389" s="2518"/>
      <c r="AL389" s="251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0" t="s">
        <v>1466</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7" t="s">
        <v>592</v>
      </c>
      <c r="D397" s="247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8" t="s">
        <v>1468</v>
      </c>
      <c r="AG397" s="2518"/>
      <c r="AH397" s="2518"/>
      <c r="AI397" s="2518"/>
      <c r="AJ397" s="2518"/>
      <c r="AK397" s="2518"/>
      <c r="AL397" s="251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7" t="s">
        <v>546</v>
      </c>
      <c r="D399" s="247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8" t="s">
        <v>1463</v>
      </c>
      <c r="AG399" s="2518"/>
      <c r="AH399" s="2518"/>
      <c r="AI399" s="2518"/>
      <c r="AJ399" s="2518"/>
      <c r="AK399" s="2518"/>
      <c r="AL399" s="251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0" t="s">
        <v>1472</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7" t="s">
        <v>592</v>
      </c>
      <c r="D407" s="247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8" t="s">
        <v>1463</v>
      </c>
      <c r="AG407" s="2518"/>
      <c r="AH407" s="2518"/>
      <c r="AI407" s="2518"/>
      <c r="AJ407" s="2518"/>
      <c r="AK407" s="2518"/>
      <c r="AL407" s="251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7" t="s">
        <v>592</v>
      </c>
      <c r="D409" s="247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8" t="s">
        <v>1475</v>
      </c>
      <c r="AG409" s="2518"/>
      <c r="AH409" s="2518"/>
      <c r="AI409" s="2518"/>
      <c r="AJ409" s="2518"/>
      <c r="AK409" s="2518"/>
      <c r="AL409" s="251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7" t="s">
        <v>592</v>
      </c>
      <c r="D412" s="2474"/>
      <c r="E412" s="716" t="s">
        <v>1476</v>
      </c>
      <c r="F412" s="2520" t="s">
        <v>1477</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1463</v>
      </c>
      <c r="AG413" s="2442"/>
      <c r="AH413" s="2442"/>
      <c r="AI413" s="2442"/>
      <c r="AJ413" s="2442"/>
      <c r="AK413" s="2442"/>
      <c r="AL413" s="2522"/>
      <c r="AM413" s="571"/>
      <c r="AN413" s="598"/>
      <c r="BS413" s="571"/>
      <c r="BT413" s="571"/>
      <c r="BY413" s="571"/>
      <c r="BZ413" s="571"/>
      <c r="CA413" s="571"/>
      <c r="CB413" s="571"/>
      <c r="CC413" s="571"/>
    </row>
    <row r="414" spans="1:81" s="551" customFormat="1" ht="12.75" customHeight="1">
      <c r="A414" s="537"/>
      <c r="B414" s="14"/>
      <c r="C414" s="732"/>
      <c r="D414" s="14"/>
      <c r="E414" s="692"/>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0" t="s">
        <v>1479</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8"/>
      <c r="AG417" s="748"/>
      <c r="AH417" s="748"/>
      <c r="AI417" s="748"/>
      <c r="AJ417" s="748"/>
      <c r="AK417" s="748"/>
      <c r="AL417" s="749"/>
      <c r="AM417" s="571"/>
    </row>
    <row r="418" spans="1:55" ht="13">
      <c r="A418" s="537"/>
      <c r="C418" s="732"/>
      <c r="E418" s="692"/>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40"/>
      <c r="AG418" s="537"/>
      <c r="AH418" s="551"/>
      <c r="AI418" s="551"/>
      <c r="AJ418" s="551"/>
      <c r="AK418" s="551"/>
      <c r="AL418" s="733"/>
      <c r="AM418" s="571"/>
    </row>
    <row r="419" spans="1:55" s="551" customFormat="1" ht="12.75" customHeight="1">
      <c r="A419" s="537"/>
      <c r="B419" s="14"/>
      <c r="C419" s="732"/>
      <c r="D419" s="14"/>
      <c r="E419" s="692"/>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3"/>
      <c r="AM419" s="571"/>
      <c r="AN419" s="598"/>
    </row>
    <row r="420" spans="1:55" s="551" customFormat="1" ht="12.75" customHeight="1">
      <c r="A420" s="537"/>
      <c r="B420" s="14"/>
      <c r="C420" s="740"/>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3"/>
      <c r="AM420" s="571"/>
      <c r="AN420" s="598"/>
    </row>
    <row r="421" spans="1:55" s="551" customFormat="1" ht="12.75" customHeight="1">
      <c r="A421" s="537"/>
      <c r="B421" s="14"/>
      <c r="C421" s="2517" t="s">
        <v>592</v>
      </c>
      <c r="D421" s="247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2" t="s">
        <v>1463</v>
      </c>
      <c r="AG421" s="2442"/>
      <c r="AH421" s="2442"/>
      <c r="AI421" s="2442"/>
      <c r="AJ421" s="2442"/>
      <c r="AK421" s="2442"/>
      <c r="AL421" s="2522"/>
      <c r="AM421" s="571"/>
      <c r="AN421" s="598"/>
    </row>
    <row r="422" spans="1:55" s="551" customFormat="1" ht="12.75" customHeight="1">
      <c r="A422" s="537"/>
      <c r="B422" s="14"/>
      <c r="C422" s="740"/>
      <c r="AL422" s="733"/>
      <c r="AM422" s="571"/>
      <c r="AN422" s="598"/>
    </row>
    <row r="423" spans="1:55" s="551" customFormat="1" ht="12.75" customHeight="1">
      <c r="A423" s="537"/>
      <c r="B423" s="14"/>
      <c r="C423" s="2517" t="s">
        <v>592</v>
      </c>
      <c r="D423" s="247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2" t="s">
        <v>1475</v>
      </c>
      <c r="AG423" s="2442"/>
      <c r="AH423" s="2442"/>
      <c r="AI423" s="2442"/>
      <c r="AJ423" s="2442"/>
      <c r="AK423" s="2442"/>
      <c r="AL423" s="252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0" t="s">
        <v>1483</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5"/>
      <c r="AG427" s="715"/>
      <c r="AH427" s="715"/>
      <c r="AI427" s="715"/>
      <c r="AJ427" s="715"/>
      <c r="AK427" s="715"/>
      <c r="AL427" s="746"/>
      <c r="AM427" s="571"/>
      <c r="AN427" s="598"/>
    </row>
    <row r="428" spans="1:55" s="551" customFormat="1" ht="12.75" customHeight="1">
      <c r="A428" s="537"/>
      <c r="B428" s="14"/>
      <c r="C428" s="732"/>
      <c r="D428" s="14"/>
      <c r="E428" s="692"/>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40"/>
      <c r="AG428" s="537"/>
      <c r="AL428" s="733"/>
      <c r="AM428" s="571"/>
      <c r="AN428" s="598"/>
    </row>
    <row r="429" spans="1:55" s="551" customFormat="1" ht="12.4" customHeight="1">
      <c r="A429" s="537"/>
      <c r="B429" s="14"/>
      <c r="C429" s="732"/>
      <c r="D429" s="14"/>
      <c r="E429" s="692"/>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3"/>
      <c r="AM429" s="571"/>
      <c r="AN429" s="598"/>
    </row>
    <row r="430" spans="1:55" s="551" customFormat="1" ht="12.75" customHeight="1">
      <c r="A430" s="537"/>
      <c r="B430" s="14"/>
      <c r="C430" s="2517" t="s">
        <v>592</v>
      </c>
      <c r="D430" s="247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2" t="s">
        <v>1463</v>
      </c>
      <c r="AG430" s="2442"/>
      <c r="AH430" s="2442"/>
      <c r="AI430" s="2442"/>
      <c r="AJ430" s="2442"/>
      <c r="AK430" s="2442"/>
      <c r="AL430" s="252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520" t="s">
        <v>1486</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5"/>
      <c r="AG434" s="595"/>
      <c r="AH434" s="595"/>
      <c r="AI434" s="595"/>
      <c r="AJ434" s="595"/>
      <c r="AK434" s="595"/>
      <c r="AL434" s="751"/>
      <c r="AM434" s="571"/>
      <c r="AO434" s="551"/>
      <c r="AP434" s="551"/>
    </row>
    <row r="435" spans="1:60" s="551" customFormat="1" ht="12.75" customHeight="1">
      <c r="A435" s="537"/>
      <c r="B435" s="14"/>
      <c r="C435" s="732"/>
      <c r="D435" s="14"/>
      <c r="E435" s="692"/>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5"/>
      <c r="AG435" s="595"/>
      <c r="AH435" s="595"/>
      <c r="AI435" s="595"/>
      <c r="AJ435" s="595"/>
      <c r="AK435" s="595"/>
      <c r="AL435" s="751"/>
      <c r="AM435" s="571"/>
      <c r="AN435" s="598"/>
    </row>
    <row r="436" spans="1:60" s="551" customFormat="1" ht="12.75" customHeight="1">
      <c r="A436" s="537"/>
      <c r="B436" s="14"/>
      <c r="C436" s="752"/>
      <c r="D436" s="731"/>
      <c r="E436" s="720"/>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5"/>
      <c r="AG437" s="595"/>
      <c r="AH437" s="595"/>
      <c r="AI437" s="595"/>
      <c r="AJ437" s="595"/>
      <c r="AK437" s="595"/>
      <c r="AL437" s="751"/>
      <c r="AM437" s="571"/>
      <c r="AN437" s="598"/>
    </row>
    <row r="438" spans="1:60" s="551" customFormat="1" ht="12.75" customHeight="1">
      <c r="A438" s="537"/>
      <c r="B438" s="14"/>
      <c r="C438" s="752"/>
      <c r="D438" s="731"/>
      <c r="E438" s="720"/>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5"/>
      <c r="AG438" s="595"/>
      <c r="AH438" s="595"/>
      <c r="AI438" s="595"/>
      <c r="AJ438" s="595"/>
      <c r="AK438" s="595"/>
      <c r="AL438" s="751"/>
      <c r="AM438" s="571"/>
      <c r="AN438" s="598"/>
    </row>
    <row r="439" spans="1:60" s="551" customFormat="1" ht="12.75" customHeight="1">
      <c r="A439" s="537"/>
      <c r="B439" s="14"/>
      <c r="C439" s="752"/>
      <c r="D439" s="731"/>
      <c r="E439" s="720"/>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5"/>
      <c r="AG439" s="595"/>
      <c r="AH439" s="595"/>
      <c r="AI439" s="595"/>
      <c r="AJ439" s="595"/>
      <c r="AK439" s="595"/>
      <c r="AL439" s="751"/>
      <c r="AM439" s="571"/>
      <c r="AN439" s="598"/>
    </row>
    <row r="440" spans="1:60" s="551" customFormat="1" ht="12.75" customHeight="1">
      <c r="A440" s="537"/>
      <c r="B440" s="14"/>
      <c r="C440" s="752"/>
      <c r="D440" s="731"/>
      <c r="E440" s="720"/>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5"/>
      <c r="AG440" s="595"/>
      <c r="AH440" s="595"/>
      <c r="AI440" s="595"/>
      <c r="AJ440" s="595"/>
      <c r="AK440" s="595"/>
      <c r="AL440" s="751"/>
      <c r="AM440" s="571"/>
      <c r="AN440" s="598"/>
    </row>
    <row r="441" spans="1:60" s="551" customFormat="1" ht="17.25" customHeight="1">
      <c r="A441" s="537"/>
      <c r="B441" s="14"/>
      <c r="C441" s="752"/>
      <c r="D441" s="731"/>
      <c r="E441" s="720"/>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3"/>
      <c r="AM441" s="571"/>
      <c r="AN441" s="598"/>
    </row>
    <row r="442" spans="1:60" s="551" customFormat="1" ht="12.75" customHeight="1">
      <c r="A442" s="537"/>
      <c r="B442" s="14"/>
      <c r="C442" s="2517" t="s">
        <v>592</v>
      </c>
      <c r="D442" s="247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2" t="s">
        <v>1463</v>
      </c>
      <c r="AG442" s="2442"/>
      <c r="AH442" s="2442"/>
      <c r="AI442" s="2442"/>
      <c r="AJ442" s="2442"/>
      <c r="AK442" s="2442"/>
      <c r="AL442" s="252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0" t="s">
        <v>1489</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5"/>
      <c r="AG445" s="715"/>
      <c r="AH445" s="715"/>
      <c r="AI445" s="715"/>
      <c r="AJ445" s="715"/>
      <c r="AK445" s="715"/>
      <c r="AL445" s="746"/>
      <c r="AM445" s="571"/>
      <c r="AN445" s="598"/>
    </row>
    <row r="446" spans="1:60" s="551" customFormat="1" ht="12.75" customHeight="1">
      <c r="A446" s="537"/>
      <c r="B446" s="14"/>
      <c r="C446" s="752"/>
      <c r="D446" s="731"/>
      <c r="E446" s="720"/>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2"/>
      <c r="AG446" s="592"/>
      <c r="AH446" s="592"/>
      <c r="AI446" s="592"/>
      <c r="AJ446" s="592"/>
      <c r="AK446" s="592"/>
      <c r="AL446" s="721"/>
      <c r="AM446" s="571"/>
      <c r="AN446" s="598"/>
    </row>
    <row r="447" spans="1:60" s="551" customFormat="1" ht="12.75" customHeight="1">
      <c r="A447" s="537"/>
      <c r="B447" s="14"/>
      <c r="C447" s="752"/>
      <c r="D447" s="731"/>
      <c r="E447" s="720"/>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2"/>
      <c r="AG447" s="592"/>
      <c r="AH447" s="592"/>
      <c r="AI447" s="592"/>
      <c r="AJ447" s="592"/>
      <c r="AK447" s="592"/>
      <c r="AL447" s="721"/>
      <c r="AM447" s="571"/>
      <c r="AN447" s="598"/>
    </row>
    <row r="448" spans="1:60" s="551" customFormat="1" ht="12.75" customHeight="1">
      <c r="A448" s="537"/>
      <c r="B448" s="14"/>
      <c r="C448" s="752"/>
      <c r="D448" s="731"/>
      <c r="E448" s="720"/>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3"/>
      <c r="AM448" s="571"/>
      <c r="AN448" s="598"/>
    </row>
    <row r="449" spans="1:40" s="551" customFormat="1" ht="12.75" customHeight="1">
      <c r="A449" s="537"/>
      <c r="B449" s="14"/>
      <c r="C449" s="2517" t="s">
        <v>592</v>
      </c>
      <c r="D449" s="247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2" t="s">
        <v>1463</v>
      </c>
      <c r="AG449" s="2442"/>
      <c r="AH449" s="2442"/>
      <c r="AI449" s="2442"/>
      <c r="AJ449" s="2442"/>
      <c r="AK449" s="2442"/>
      <c r="AL449" s="252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3" t="s">
        <v>592</v>
      </c>
      <c r="D453" s="2524"/>
      <c r="E453" s="716" t="s">
        <v>1498</v>
      </c>
      <c r="F453" s="2520" t="s">
        <v>1499</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1463</v>
      </c>
      <c r="AG453" s="2541"/>
      <c r="AH453" s="2541"/>
      <c r="AI453" s="2541"/>
      <c r="AJ453" s="2541"/>
      <c r="AK453" s="2541"/>
      <c r="AL453" s="2542"/>
      <c r="AM453" s="571"/>
      <c r="AN453" s="754"/>
    </row>
    <row r="454" spans="1:40" s="551" customFormat="1" ht="12.75" customHeight="1">
      <c r="A454" s="537"/>
      <c r="B454" s="14"/>
      <c r="C454" s="752"/>
      <c r="D454" s="731"/>
      <c r="E454" s="720"/>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2"/>
      <c r="AG454" s="592"/>
      <c r="AH454" s="592"/>
      <c r="AI454" s="592"/>
      <c r="AJ454" s="592"/>
      <c r="AK454" s="592"/>
      <c r="AL454" s="721"/>
      <c r="AM454" s="571"/>
      <c r="AN454" s="755"/>
    </row>
    <row r="455" spans="1:40" s="551" customFormat="1" ht="17.649999999999999" customHeight="1">
      <c r="A455" s="537"/>
      <c r="B455" s="14"/>
      <c r="C455" s="757"/>
      <c r="D455" s="724"/>
      <c r="E455" s="725"/>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7" t="s">
        <v>592</v>
      </c>
      <c r="D457" s="2474"/>
      <c r="E457" s="716" t="s">
        <v>1504</v>
      </c>
      <c r="F457" s="2520" t="s">
        <v>1505</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1463</v>
      </c>
      <c r="AG457" s="2541"/>
      <c r="AH457" s="2541"/>
      <c r="AI457" s="2541"/>
      <c r="AJ457" s="2541"/>
      <c r="AK457" s="2541"/>
      <c r="AL457" s="2542"/>
      <c r="AM457" s="571"/>
      <c r="AN457" s="536"/>
    </row>
    <row r="458" spans="1:40" s="551" customFormat="1" ht="12.75" customHeight="1">
      <c r="A458" s="537"/>
      <c r="B458" s="14"/>
      <c r="C458" s="732"/>
      <c r="D458" s="14"/>
      <c r="E458" s="692"/>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40"/>
      <c r="AG458" s="537"/>
      <c r="AL458" s="733"/>
      <c r="AM458" s="571"/>
      <c r="AN458" s="536"/>
    </row>
    <row r="459" spans="1:40" s="551" customFormat="1" ht="12.75" customHeight="1">
      <c r="A459" s="537"/>
      <c r="B459" s="14"/>
      <c r="C459" s="732"/>
      <c r="D459" s="14"/>
      <c r="E459" s="692"/>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40"/>
      <c r="AG459" s="537"/>
      <c r="AL459" s="733"/>
      <c r="AM459" s="571"/>
      <c r="AN459" s="536"/>
    </row>
    <row r="460" spans="1:40" s="551" customFormat="1" ht="12.75" customHeight="1">
      <c r="A460" s="537"/>
      <c r="B460" s="14"/>
      <c r="C460" s="757"/>
      <c r="D460" s="724"/>
      <c r="E460" s="725"/>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0" t="s">
        <v>1508</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5"/>
      <c r="AH462" s="715"/>
      <c r="AI462" s="715"/>
      <c r="AJ462" s="715"/>
      <c r="AK462" s="715"/>
      <c r="AL462" s="746"/>
      <c r="AM462" s="571"/>
      <c r="AN462" s="598"/>
    </row>
    <row r="463" spans="1:40" s="551" customFormat="1" ht="12.75" customHeight="1">
      <c r="A463" s="537"/>
      <c r="B463" s="14"/>
      <c r="C463" s="732"/>
      <c r="D463" s="14"/>
      <c r="E463" s="692"/>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3"/>
      <c r="AM463" s="571"/>
      <c r="AN463" s="598"/>
    </row>
    <row r="464" spans="1:40" s="551" customFormat="1" ht="12.75" customHeight="1">
      <c r="A464" s="537"/>
      <c r="B464" s="14"/>
      <c r="C464" s="740"/>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3"/>
      <c r="AM464" s="571"/>
      <c r="AN464" s="598"/>
    </row>
    <row r="465" spans="1:58" s="551" customFormat="1" ht="12.75" customHeight="1">
      <c r="A465" s="537"/>
      <c r="B465" s="14"/>
      <c r="C465" s="740"/>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3"/>
      <c r="AM465" s="571"/>
      <c r="AN465" s="598"/>
    </row>
    <row r="466" spans="1:58" s="551" customFormat="1" ht="12.75" customHeight="1">
      <c r="A466" s="537"/>
      <c r="B466" s="14"/>
      <c r="C466" s="2517" t="s">
        <v>592</v>
      </c>
      <c r="D466" s="247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8" t="s">
        <v>1463</v>
      </c>
      <c r="AG466" s="2518"/>
      <c r="AH466" s="2518"/>
      <c r="AI466" s="2518"/>
      <c r="AJ466" s="2518"/>
      <c r="AK466" s="2518"/>
      <c r="AL466" s="251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7">
        <f>IF(Application!D214="N/A",AS358,AS360)</f>
        <v>10</v>
      </c>
      <c r="AL469" s="2478"/>
      <c r="AM469" s="247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8" t="s">
        <v>1512</v>
      </c>
      <c r="AF472" s="2518"/>
      <c r="AG472" s="2518"/>
      <c r="AH472" s="2518"/>
      <c r="AI472" s="2518"/>
      <c r="AJ472" s="2518"/>
      <c r="AK472" s="2518"/>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3" t="s">
        <v>592</v>
      </c>
      <c r="D478" s="2544"/>
      <c r="E478" s="762" t="s">
        <v>508</v>
      </c>
      <c r="F478" s="2545" t="s">
        <v>1518</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9" t="s">
        <v>592</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0" t="s">
        <v>546</v>
      </c>
      <c r="D482" s="2621"/>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8" t="s">
        <v>592</v>
      </c>
      <c r="W485" s="2618"/>
      <c r="X485" s="261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8" t="s">
        <v>592</v>
      </c>
      <c r="W487" s="2618"/>
      <c r="X487" s="261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8" t="s">
        <v>592</v>
      </c>
      <c r="W492" s="2618"/>
      <c r="X492" s="261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8"/>
      <c r="E495" s="2608"/>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8" t="s">
        <v>592</v>
      </c>
      <c r="W496" s="2618"/>
      <c r="X496" s="261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8" t="s">
        <v>592</v>
      </c>
      <c r="W498" s="2618"/>
      <c r="X498" s="261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3" t="s">
        <v>592</v>
      </c>
      <c r="D501" s="2544"/>
      <c r="E501" s="762" t="s">
        <v>508</v>
      </c>
      <c r="F501" s="2545" t="s">
        <v>1518</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4" t="s">
        <v>592</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3" t="s">
        <v>592</v>
      </c>
      <c r="D505" s="2544"/>
      <c r="E505" s="762" t="s">
        <v>758</v>
      </c>
      <c r="F505" s="2615" t="s">
        <v>1540</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7" t="s">
        <v>592</v>
      </c>
      <c r="G508" s="2617"/>
      <c r="H508" s="261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3" t="s">
        <v>592</v>
      </c>
      <c r="D510" s="2544"/>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7"/>
      <c r="D512" s="2608"/>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9" t="s">
        <v>592</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7" t="s">
        <v>592</v>
      </c>
      <c r="D515" s="2548"/>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7" t="s">
        <v>592</v>
      </c>
      <c r="D519" s="2548"/>
      <c r="F519" s="796" t="s">
        <v>1548</v>
      </c>
      <c r="G519" s="2521" t="s">
        <v>1549</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9" t="s">
        <v>592</v>
      </c>
      <c r="D523" s="2550"/>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1" t="s">
        <v>592</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7">
        <f>SUM(AG479:AG524)</f>
        <v>0</v>
      </c>
      <c r="AL535" s="2478"/>
      <c r="AM535" s="247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7" t="s">
        <v>1561</v>
      </c>
      <c r="AF538" s="2407"/>
      <c r="AG538" s="2407"/>
      <c r="AH538" s="2407"/>
      <c r="AI538" s="2407"/>
      <c r="AJ538" s="2407"/>
      <c r="AK538" s="2407"/>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4" t="s">
        <v>546</v>
      </c>
      <c r="D541" s="2474"/>
      <c r="E541" s="552"/>
      <c r="F541" s="2601" t="s">
        <v>1562</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6"/>
      <c r="AN541" s="598"/>
    </row>
    <row r="542" spans="1:81" s="551" customFormat="1" ht="12.75" customHeight="1">
      <c r="A542" s="540"/>
      <c r="B542" s="540"/>
      <c r="C542" s="552"/>
      <c r="D542" s="552"/>
      <c r="E542" s="552"/>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4" t="s">
        <v>592</v>
      </c>
      <c r="D544" s="247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6" t="s">
        <v>1564</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6"/>
      <c r="AN545" s="598"/>
      <c r="AS545" s="871"/>
      <c r="AT545" s="871"/>
      <c r="AU545" s="871"/>
      <c r="AV545" s="871"/>
      <c r="AW545" s="871"/>
    </row>
    <row r="546" spans="1:49" s="551" customFormat="1" ht="12.75" customHeight="1">
      <c r="B546" s="807"/>
      <c r="C546" s="807"/>
      <c r="D546" s="807"/>
      <c r="E546" s="807"/>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6" t="s">
        <v>1565</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4"/>
      <c r="AM548" s="596"/>
      <c r="AN548" s="598"/>
    </row>
    <row r="549" spans="1:49" s="551" customFormat="1" ht="12.75" customHeight="1">
      <c r="B549" s="807"/>
      <c r="C549" s="807"/>
      <c r="D549" s="807"/>
      <c r="E549" s="807"/>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3">
        <f>Application!AJ992</f>
        <v>76348096</v>
      </c>
      <c r="AQ550" s="2623"/>
      <c r="AR550" s="262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0">
        <f ca="1">'Sources and Uses Budget'!S107+'Sources and Uses Budget'!T107</f>
        <v>87625969</v>
      </c>
      <c r="AG551" s="2480"/>
      <c r="AH551" s="2480"/>
      <c r="AI551" s="2480"/>
      <c r="AJ551" s="2480"/>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8">
        <f>IFERROR(AP559,0)</f>
        <v>160331001.80000001</v>
      </c>
      <c r="AG552" s="2628"/>
      <c r="AH552" s="2628"/>
      <c r="AI552" s="2628"/>
      <c r="AJ552" s="2628"/>
      <c r="AK552" s="596"/>
      <c r="AL552" s="596"/>
      <c r="AM552" s="596"/>
      <c r="AN552" s="598"/>
      <c r="AP552" s="2623">
        <f>Application!AJ1045</f>
        <v>35120124.160000004</v>
      </c>
      <c r="AQ552" s="2623"/>
      <c r="AR552" s="262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9">
        <f ca="1">IFERROR(ROUNDDOWN(IF(C544="YES",((1-(AF551/AF552))*2),(1-(AF551/AF552))),2),0)</f>
        <v>0.45</v>
      </c>
      <c r="AG553" s="2629"/>
      <c r="AH553" s="2629"/>
      <c r="AI553" s="2629"/>
      <c r="AJ553" s="2629"/>
      <c r="AK553" s="596"/>
      <c r="AL553" s="596"/>
      <c r="AM553" s="596"/>
      <c r="AN553" s="598"/>
      <c r="AP553" s="2626">
        <f>Application!AJ1049</f>
        <v>41227971.840000004</v>
      </c>
      <c r="AQ553" s="2626"/>
      <c r="AR553" s="2626"/>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2">
        <f>IF(((AP552+AP553)/AP550)&gt;0.8,0.8,((AP552+AP553)/AP550))</f>
        <v>0.8</v>
      </c>
      <c r="AQ554" s="2622"/>
      <c r="AR554" s="2622"/>
      <c r="AS554" s="551" t="s">
        <v>2174</v>
      </c>
    </row>
    <row r="555" spans="1:49" s="551" customFormat="1" ht="12.75" customHeight="1">
      <c r="A555" s="625"/>
      <c r="B555" s="2559" t="s">
        <v>2034</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6"/>
      <c r="AL555" s="596"/>
      <c r="AM555" s="596"/>
      <c r="AN555" s="598"/>
    </row>
    <row r="556" spans="1:49" s="551" customFormat="1" ht="12.75" customHeight="1">
      <c r="A556" s="625"/>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6"/>
      <c r="AL556" s="596"/>
      <c r="AM556" s="596"/>
      <c r="AN556" s="598"/>
      <c r="AP556" s="2623">
        <f>AP557-AP552-AP553</f>
        <v>99252525</v>
      </c>
      <c r="AQ556" s="2532"/>
      <c r="AR556" s="2532"/>
      <c r="AS556" s="551" t="s">
        <v>2176</v>
      </c>
    </row>
    <row r="557" spans="1:49" s="551" customFormat="1" ht="12.75" customHeight="1">
      <c r="A557" s="625"/>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6"/>
      <c r="AL557" s="596"/>
      <c r="AM557" s="596"/>
      <c r="AN557" s="598"/>
      <c r="AP557" s="2623">
        <f>Application!AJ1053</f>
        <v>175600621</v>
      </c>
      <c r="AQ557" s="2623"/>
      <c r="AR557" s="262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8">
        <f ca="1">IFERROR(IF(AND(C541="N/A",C544="N/A"),0,IF(AF553=0,0,IF((AF553*100)&gt;12,12,(AF553*100)))),0)</f>
        <v>12</v>
      </c>
      <c r="AL559" s="2568"/>
      <c r="AM559" s="2569"/>
      <c r="AN559" s="598"/>
      <c r="AP559" s="2640">
        <f>AP556+(AP550*AP554)</f>
        <v>160331001.80000001</v>
      </c>
      <c r="AQ559" s="2641"/>
      <c r="AR559" s="264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7" t="s">
        <v>1315</v>
      </c>
      <c r="AF562" s="2407"/>
      <c r="AG562" s="2407"/>
      <c r="AH562" s="2407"/>
      <c r="AI562" s="2407"/>
      <c r="AJ562" s="2407"/>
      <c r="AK562" s="240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7" t="s">
        <v>2025</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3"/>
      <c r="AL564" s="574"/>
      <c r="AM564" s="604"/>
      <c r="AN564" s="598"/>
    </row>
    <row r="565" spans="1:42" s="551" customFormat="1" ht="12.75" customHeight="1">
      <c r="A565" s="604"/>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3"/>
      <c r="AL565" s="574"/>
      <c r="AM565" s="604"/>
      <c r="AN565" s="598"/>
    </row>
    <row r="566" spans="1:42" s="551" customFormat="1" ht="12.75" customHeight="1">
      <c r="A566" s="604"/>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3"/>
      <c r="AL566" s="574"/>
      <c r="AM566" s="604"/>
      <c r="AN566" s="598"/>
    </row>
    <row r="567" spans="1:42" s="551" customFormat="1" ht="12.75" customHeight="1">
      <c r="A567" s="604"/>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3"/>
      <c r="AL567" s="574"/>
      <c r="AM567" s="604"/>
      <c r="AN567" s="598"/>
    </row>
    <row r="568" spans="1:42" s="551" customFormat="1" ht="12.75" customHeight="1">
      <c r="A568" s="604"/>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3"/>
      <c r="AL568" s="574"/>
      <c r="AM568" s="604"/>
      <c r="AN568" s="598"/>
    </row>
    <row r="569" spans="1:42" s="551" customFormat="1" ht="12.75" customHeight="1">
      <c r="A569" s="604"/>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3"/>
      <c r="AL569" s="574"/>
      <c r="AM569" s="604"/>
      <c r="AN569" s="598"/>
    </row>
    <row r="570" spans="1:42" s="551" customFormat="1" ht="12.75" customHeight="1">
      <c r="A570" s="604"/>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3"/>
      <c r="AL570" s="574"/>
      <c r="AM570" s="604"/>
      <c r="AN570" s="598"/>
    </row>
    <row r="571" spans="1:42" ht="12.75" customHeight="1">
      <c r="A571" s="604"/>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3"/>
      <c r="AL571" s="574"/>
      <c r="AM571" s="604"/>
    </row>
    <row r="572" spans="1:42" s="551"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2" t="s">
        <v>1339</v>
      </c>
      <c r="AG578" s="2442"/>
      <c r="AH578" s="2442"/>
      <c r="AI578" s="2442"/>
      <c r="AJ578" s="2442"/>
      <c r="AK578" s="2442"/>
      <c r="AL578" s="2442"/>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2" t="s">
        <v>1397</v>
      </c>
      <c r="AG585" s="2442"/>
      <c r="AH585" s="2442"/>
      <c r="AI585" s="2442"/>
      <c r="AJ585" s="2442"/>
      <c r="AK585" s="2442"/>
      <c r="AL585" s="2442"/>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2" t="s">
        <v>1379</v>
      </c>
      <c r="AG591" s="2442"/>
      <c r="AH591" s="2442"/>
      <c r="AI591" s="2442"/>
      <c r="AJ591" s="2442"/>
      <c r="AK591" s="2442"/>
      <c r="AL591" s="2442"/>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2" t="s">
        <v>1400</v>
      </c>
      <c r="AG597" s="2442"/>
      <c r="AH597" s="2442"/>
      <c r="AI597" s="2442"/>
      <c r="AJ597" s="2442"/>
      <c r="AK597" s="2442"/>
      <c r="AL597" s="2442"/>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8" t="s">
        <v>1185</v>
      </c>
      <c r="P601" s="2528"/>
      <c r="Q601" s="2528"/>
      <c r="R601" s="2528"/>
      <c r="S601" s="2528"/>
      <c r="T601" s="2528"/>
      <c r="U601" s="2528"/>
      <c r="V601" s="2528"/>
      <c r="W601" s="2528"/>
      <c r="X601" s="2528"/>
      <c r="Y601" s="2528"/>
      <c r="Z601" s="2528"/>
      <c r="AA601" s="2528"/>
      <c r="AB601" s="252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2" t="s">
        <v>1353</v>
      </c>
      <c r="AG603" s="2442"/>
      <c r="AH603" s="2442"/>
      <c r="AI603" s="2442"/>
      <c r="AJ603" s="2442"/>
      <c r="AK603" s="2442"/>
      <c r="AL603" s="2442"/>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6" t="s">
        <v>688</v>
      </c>
      <c r="I606" s="2526"/>
      <c r="J606" s="937"/>
      <c r="K606" s="937"/>
      <c r="L606" s="937"/>
      <c r="N606" s="22"/>
      <c r="O606" s="22"/>
      <c r="P606" s="22"/>
      <c r="Q606" s="1153" t="s">
        <v>2179</v>
      </c>
      <c r="R606" s="2529"/>
      <c r="S606" s="2529"/>
      <c r="T606" s="2529"/>
      <c r="U606" s="2529"/>
      <c r="V606" s="2529"/>
      <c r="W606" s="252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0"/>
      <c r="Z608" s="2530"/>
      <c r="AA608" s="2530"/>
      <c r="AB608" s="2530"/>
      <c r="AC608" s="2530"/>
      <c r="AD608" s="2530"/>
      <c r="AE608" s="2530"/>
      <c r="AF608" s="2530"/>
      <c r="AG608" s="2530"/>
      <c r="AH608" s="2530"/>
      <c r="AI608" s="2530"/>
      <c r="AJ608" s="2530"/>
      <c r="AK608" s="2530"/>
      <c r="AL608" s="2530"/>
      <c r="AM608" s="2531"/>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7" t="s">
        <v>592</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0" t="s">
        <v>592</v>
      </c>
      <c r="C616" s="2470"/>
      <c r="D616" s="643"/>
      <c r="E616" s="2497" t="s">
        <v>1404</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3"/>
      <c r="AI616" s="643"/>
      <c r="AJ616" s="643"/>
      <c r="AK616" s="643"/>
      <c r="AL616" s="643"/>
      <c r="AN616" s="598"/>
    </row>
    <row r="617" spans="1:42" s="551" customFormat="1" ht="12.75" customHeight="1">
      <c r="B617" s="537"/>
      <c r="C617" s="934"/>
      <c r="D617" s="643"/>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3"/>
      <c r="AI617" s="643"/>
      <c r="AJ617" s="643"/>
      <c r="AK617" s="643"/>
      <c r="AL617" s="643"/>
      <c r="AN617" s="598"/>
    </row>
    <row r="618" spans="1:42" s="551" customFormat="1" ht="12.75" customHeight="1">
      <c r="B618" s="537"/>
      <c r="C618" s="934"/>
      <c r="D618" s="643"/>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3"/>
      <c r="AI618" s="643"/>
      <c r="AJ618" s="643"/>
      <c r="AK618" s="643"/>
      <c r="AL618" s="643"/>
      <c r="AN618" s="598"/>
    </row>
    <row r="619" spans="1:42" s="551" customFormat="1" ht="12.75" customHeight="1">
      <c r="B619" s="537"/>
      <c r="C619" s="934"/>
      <c r="D619" s="643"/>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7">
        <f>VLOOKUP($H$606,$AO$586:$AP$591,2,FALSE)+IF(R606=AO594,0,VLOOKUP($I$614,$AO$613:$AP$615,2,FALSE))</f>
        <v>7</v>
      </c>
      <c r="AK621" s="247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5" t="s">
        <v>1695</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40"/>
      <c r="AF625" s="2442" t="s">
        <v>1353</v>
      </c>
      <c r="AG625" s="2442"/>
      <c r="AH625" s="2442"/>
      <c r="AI625" s="2442"/>
      <c r="AJ625" s="2442"/>
      <c r="AK625" s="2442"/>
      <c r="AL625" s="2442"/>
      <c r="AM625" s="551"/>
      <c r="AN625" s="679"/>
    </row>
    <row r="626" spans="1:42" s="551" customFormat="1" ht="12.75" customHeight="1">
      <c r="A626" s="680"/>
      <c r="B626" s="537"/>
      <c r="C626" s="934"/>
      <c r="D626" s="664"/>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7"/>
      <c r="AF626" s="537"/>
      <c r="AG626" s="537"/>
      <c r="AH626" s="537"/>
      <c r="AI626" s="537"/>
      <c r="AJ626" s="537"/>
      <c r="AK626" s="537"/>
      <c r="AL626" s="537"/>
      <c r="AN626" s="598"/>
    </row>
    <row r="627" spans="1:42" s="551" customFormat="1" ht="12.75" customHeight="1">
      <c r="B627" s="537"/>
      <c r="C627" s="932"/>
      <c r="D627" s="664"/>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7"/>
      <c r="AF627" s="537"/>
      <c r="AG627" s="537"/>
      <c r="AH627" s="537"/>
      <c r="AI627" s="537"/>
      <c r="AJ627" s="537"/>
      <c r="AK627" s="537"/>
      <c r="AL627" s="537"/>
      <c r="AN627" s="598"/>
    </row>
    <row r="628" spans="1:42" s="551" customFormat="1" ht="12.75" customHeight="1">
      <c r="B628" s="537"/>
      <c r="C628" s="932"/>
      <c r="D628" s="664"/>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7"/>
      <c r="AF628" s="537"/>
      <c r="AG628" s="537"/>
      <c r="AH628" s="537"/>
      <c r="AI628" s="537"/>
      <c r="AJ628" s="537"/>
      <c r="AK628" s="537"/>
      <c r="AL628" s="537"/>
      <c r="AN628" s="598"/>
    </row>
    <row r="629" spans="1:42" s="551" customFormat="1" ht="12.75" customHeight="1">
      <c r="B629" s="537"/>
      <c r="C629" s="932"/>
      <c r="D629" s="664"/>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7"/>
      <c r="AF629" s="537"/>
      <c r="AG629" s="537"/>
      <c r="AH629" s="537"/>
      <c r="AI629" s="537"/>
      <c r="AJ629" s="537"/>
      <c r="AK629" s="537"/>
      <c r="AL629" s="537"/>
      <c r="AN629" s="598"/>
    </row>
    <row r="630" spans="1:42" s="551" customFormat="1" ht="12.75" customHeight="1">
      <c r="B630" s="537"/>
      <c r="C630" s="932"/>
      <c r="D630" s="664"/>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7"/>
      <c r="AF630" s="537"/>
      <c r="AG630" s="537"/>
      <c r="AH630" s="537"/>
      <c r="AI630" s="537"/>
      <c r="AJ630" s="537"/>
      <c r="AK630" s="537"/>
      <c r="AL630" s="537"/>
      <c r="AN630" s="598"/>
    </row>
    <row r="631" spans="1:42" s="551" customFormat="1" ht="12.75" customHeight="1">
      <c r="A631" s="638"/>
      <c r="B631" s="617"/>
      <c r="C631" s="941"/>
      <c r="D631" s="664"/>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7"/>
      <c r="AF631" s="617"/>
      <c r="AG631" s="617"/>
      <c r="AH631" s="617"/>
      <c r="AI631" s="617"/>
      <c r="AJ631" s="617"/>
      <c r="AK631" s="537"/>
      <c r="AL631" s="537"/>
      <c r="AN631" s="598"/>
    </row>
    <row r="632" spans="1:42" s="551" customFormat="1" ht="12.75" customHeight="1">
      <c r="B632" s="617"/>
      <c r="C632" s="941"/>
      <c r="D632" s="664"/>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0" t="s">
        <v>592</v>
      </c>
      <c r="Y634" s="247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2" t="s">
        <v>1409</v>
      </c>
      <c r="AG636" s="2442"/>
      <c r="AH636" s="2442"/>
      <c r="AI636" s="2442"/>
      <c r="AJ636" s="2442"/>
      <c r="AK636" s="2442"/>
      <c r="AL636" s="244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6" t="s">
        <v>592</v>
      </c>
      <c r="I638" s="252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7">
        <f>VLOOKUP($H$638,$AO$605:$AP$607,2,FALSE)</f>
        <v>0</v>
      </c>
      <c r="AK640" s="2479"/>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7" t="s">
        <v>2100</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7"/>
      <c r="AF644" s="2442" t="s">
        <v>1353</v>
      </c>
      <c r="AG644" s="2442"/>
      <c r="AH644" s="2442"/>
      <c r="AI644" s="2442"/>
      <c r="AJ644" s="2442"/>
      <c r="AK644" s="2442"/>
      <c r="AL644" s="2442"/>
      <c r="AN644" s="598"/>
    </row>
    <row r="645" spans="1:42" s="551" customFormat="1" ht="12.75" customHeight="1">
      <c r="B645" s="537"/>
      <c r="C645" s="537"/>
      <c r="D645" s="664"/>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2" t="s">
        <v>1409</v>
      </c>
      <c r="AG647" s="2442"/>
      <c r="AH647" s="2442"/>
      <c r="AI647" s="2442"/>
      <c r="AJ647" s="2442"/>
      <c r="AK647" s="2442"/>
      <c r="AL647" s="2442"/>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6" t="s">
        <v>510</v>
      </c>
      <c r="I650" s="252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7">
        <f>VLOOKUP(H650,AT605:AU607,2,FALSE)</f>
        <v>2</v>
      </c>
      <c r="AK652" s="247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7" t="s">
        <v>1419</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7"/>
      <c r="AE657" s="537"/>
      <c r="AF657" s="2442" t="s">
        <v>1379</v>
      </c>
      <c r="AG657" s="2442"/>
      <c r="AH657" s="2442"/>
      <c r="AI657" s="2442"/>
      <c r="AJ657" s="2442"/>
      <c r="AK657" s="2442"/>
      <c r="AL657" s="2442"/>
      <c r="AN657" s="598"/>
    </row>
    <row r="658" spans="1:42" s="551" customFormat="1" ht="12.75" customHeight="1">
      <c r="B658" s="537"/>
      <c r="C658" s="540"/>
      <c r="D658" s="537"/>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7"/>
      <c r="AE658" s="537"/>
      <c r="AF658" s="537"/>
      <c r="AG658" s="537"/>
      <c r="AH658" s="537"/>
      <c r="AI658" s="537"/>
      <c r="AJ658" s="537"/>
      <c r="AK658" s="537"/>
      <c r="AL658" s="537"/>
      <c r="AN658" s="598"/>
    </row>
    <row r="659" spans="1:42" s="551" customFormat="1" ht="12.75" customHeight="1">
      <c r="B659" s="537"/>
      <c r="C659" s="540"/>
      <c r="D659" s="664"/>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7" t="s">
        <v>1420</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7"/>
      <c r="AE661" s="537"/>
      <c r="AF661" s="2442" t="s">
        <v>1400</v>
      </c>
      <c r="AG661" s="2442"/>
      <c r="AH661" s="2442"/>
      <c r="AI661" s="2442"/>
      <c r="AJ661" s="2442"/>
      <c r="AK661" s="2442"/>
      <c r="AL661" s="2442"/>
      <c r="AN661" s="598"/>
    </row>
    <row r="662" spans="1:42" s="551" customFormat="1" ht="12.75" customHeight="1">
      <c r="B662" s="537"/>
      <c r="C662" s="540"/>
      <c r="D662" s="537"/>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7"/>
      <c r="AE662" s="537"/>
      <c r="AF662" s="537"/>
      <c r="AG662" s="537"/>
      <c r="AH662" s="537"/>
      <c r="AI662" s="537"/>
      <c r="AJ662" s="537"/>
      <c r="AK662" s="537"/>
      <c r="AL662" s="537"/>
      <c r="AN662" s="598"/>
    </row>
    <row r="663" spans="1:42" s="551" customFormat="1" ht="15" customHeight="1">
      <c r="B663" s="537"/>
      <c r="C663" s="540"/>
      <c r="D663" s="664"/>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7" t="s">
        <v>1421</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7"/>
      <c r="AE665" s="537"/>
      <c r="AF665" s="2442" t="s">
        <v>1353</v>
      </c>
      <c r="AG665" s="2442"/>
      <c r="AH665" s="2442"/>
      <c r="AI665" s="2442"/>
      <c r="AJ665" s="2442"/>
      <c r="AK665" s="2442"/>
      <c r="AL665" s="2442"/>
      <c r="AN665" s="598"/>
    </row>
    <row r="666" spans="1:42" s="551" customFormat="1" ht="12.75" customHeight="1">
      <c r="B666" s="537"/>
      <c r="C666" s="932"/>
      <c r="D666" s="537"/>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7"/>
      <c r="AE666" s="2442"/>
      <c r="AF666" s="2442"/>
      <c r="AG666" s="2442"/>
      <c r="AH666" s="2442"/>
      <c r="AI666" s="2442"/>
      <c r="AJ666" s="2442"/>
      <c r="AK666" s="2442"/>
      <c r="AL666" s="595"/>
      <c r="AN666" s="598"/>
      <c r="AO666" s="551" t="s">
        <v>592</v>
      </c>
      <c r="AP666" s="674">
        <v>0</v>
      </c>
    </row>
    <row r="667" spans="1:42" s="551" customFormat="1" ht="12.75" customHeight="1">
      <c r="A667" s="680"/>
      <c r="B667" s="537"/>
      <c r="C667" s="537"/>
      <c r="D667" s="664"/>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7" t="s">
        <v>1422</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7"/>
      <c r="AE669" s="537"/>
      <c r="AF669" s="2442" t="s">
        <v>1400</v>
      </c>
      <c r="AG669" s="2442"/>
      <c r="AH669" s="2442"/>
      <c r="AI669" s="2442"/>
      <c r="AJ669" s="2442"/>
      <c r="AK669" s="2442"/>
      <c r="AL669" s="2442"/>
      <c r="AN669" s="598"/>
    </row>
    <row r="670" spans="1:42" s="551" customFormat="1" ht="12.75" customHeight="1">
      <c r="A670" s="671"/>
      <c r="B670" s="537"/>
      <c r="C670" s="948"/>
      <c r="D670" s="664"/>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7" t="s">
        <v>1423</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7"/>
      <c r="AE673" s="537"/>
      <c r="AF673" s="2442" t="s">
        <v>1353</v>
      </c>
      <c r="AG673" s="2442"/>
      <c r="AH673" s="2442"/>
      <c r="AI673" s="2442"/>
      <c r="AJ673" s="2442"/>
      <c r="AK673" s="2442"/>
      <c r="AL673" s="2442"/>
      <c r="AM673" s="597"/>
      <c r="AN673" s="598"/>
    </row>
    <row r="674" spans="1:42" s="551" customFormat="1" ht="12.75" customHeight="1">
      <c r="B674" s="537"/>
      <c r="C674" s="932"/>
      <c r="D674" s="664"/>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7"/>
      <c r="AE674" s="537"/>
      <c r="AF674" s="537"/>
      <c r="AG674" s="537"/>
      <c r="AH674" s="537"/>
      <c r="AI674" s="537"/>
      <c r="AJ674" s="537"/>
      <c r="AK674" s="537"/>
      <c r="AL674" s="537"/>
      <c r="AM674" s="597"/>
      <c r="AN674" s="598"/>
    </row>
    <row r="675" spans="1:42" s="551" customFormat="1" ht="12.75" customHeight="1">
      <c r="B675" s="537"/>
      <c r="C675" s="932"/>
      <c r="D675" s="664"/>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7" t="s">
        <v>1424</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7"/>
      <c r="AE677" s="537"/>
      <c r="AF677" s="2442" t="s">
        <v>1409</v>
      </c>
      <c r="AG677" s="2442"/>
      <c r="AH677" s="2442"/>
      <c r="AI677" s="2442"/>
      <c r="AJ677" s="2442"/>
      <c r="AK677" s="2442"/>
      <c r="AL677" s="2442"/>
      <c r="AM677" s="597"/>
      <c r="AN677" s="598"/>
    </row>
    <row r="678" spans="1:42" s="551" customFormat="1" ht="12.75" customHeight="1">
      <c r="A678" s="680"/>
      <c r="B678" s="537"/>
      <c r="C678" s="932"/>
      <c r="D678" s="664"/>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7" t="s">
        <v>1425</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7"/>
      <c r="AE681" s="537"/>
      <c r="AF681" s="2442" t="s">
        <v>1426</v>
      </c>
      <c r="AG681" s="2442"/>
      <c r="AH681" s="2442"/>
      <c r="AI681" s="2442"/>
      <c r="AJ681" s="2442"/>
      <c r="AK681" s="2442"/>
      <c r="AL681" s="2442"/>
      <c r="AM681" s="597"/>
      <c r="AN681" s="598"/>
      <c r="AO681" s="612" t="s">
        <v>688</v>
      </c>
      <c r="AP681" s="551">
        <v>3</v>
      </c>
    </row>
    <row r="682" spans="1:42" s="551" customFormat="1" ht="12.75" customHeight="1">
      <c r="A682" s="680"/>
      <c r="B682" s="537"/>
      <c r="C682" s="932"/>
      <c r="D682" s="664"/>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6" t="s">
        <v>510</v>
      </c>
      <c r="I685" s="252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7">
        <f>VLOOKUP($H$685,$AO$633:$AP$640,2,FALSE)</f>
        <v>4</v>
      </c>
      <c r="AK687" s="247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127</v>
      </c>
    </row>
    <row r="691" spans="1:51" s="551" customFormat="1" ht="12.75" customHeight="1">
      <c r="A691" s="680"/>
      <c r="B691" s="537"/>
      <c r="C691" s="949"/>
      <c r="D691" s="664" t="s">
        <v>688</v>
      </c>
      <c r="E691" s="2533" t="s">
        <v>2192</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7"/>
      <c r="AD691" s="537"/>
      <c r="AE691" s="537"/>
      <c r="AF691" s="2442" t="s">
        <v>1353</v>
      </c>
      <c r="AG691" s="2442"/>
      <c r="AH691" s="2442"/>
      <c r="AI691" s="2442"/>
      <c r="AJ691" s="2442"/>
      <c r="AK691" s="2442"/>
      <c r="AL691" s="2442"/>
      <c r="AN691" s="598"/>
      <c r="AW691" s="22" t="s">
        <v>2187</v>
      </c>
      <c r="AX691" s="551">
        <f>Application!DE753</f>
        <v>20</v>
      </c>
    </row>
    <row r="692" spans="1:51" s="551" customFormat="1" ht="12.75" customHeight="1">
      <c r="A692" s="680"/>
      <c r="B692" s="537"/>
      <c r="C692" s="949"/>
      <c r="D692" s="664"/>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7" t="s">
        <v>2136</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7"/>
      <c r="AD694" s="537"/>
      <c r="AE694" s="537"/>
      <c r="AF694" s="2442" t="s">
        <v>1353</v>
      </c>
      <c r="AG694" s="2442"/>
      <c r="AH694" s="2442"/>
      <c r="AI694" s="2442"/>
      <c r="AJ694" s="2442"/>
      <c r="AK694" s="2442"/>
      <c r="AL694" s="2442"/>
      <c r="AN694" s="598"/>
      <c r="AW694" s="22" t="s">
        <v>2190</v>
      </c>
      <c r="AX694" s="551">
        <f>AX691+AX692+AX693</f>
        <v>20</v>
      </c>
    </row>
    <row r="695" spans="1:51" s="551" customFormat="1" ht="12.75" customHeight="1">
      <c r="B695" s="537"/>
      <c r="C695" s="941"/>
      <c r="D695" s="664"/>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7"/>
      <c r="AD695" s="537"/>
      <c r="AE695" s="617"/>
      <c r="AF695" s="537"/>
      <c r="AG695" s="537"/>
      <c r="AH695" s="537"/>
      <c r="AI695" s="537"/>
      <c r="AJ695" s="537"/>
      <c r="AK695" s="537"/>
      <c r="AL695" s="537"/>
      <c r="AN695" s="598"/>
      <c r="AO695" s="2532" t="b">
        <f>IF(Application!D211="Special Needs",IF(AY695&gt;=0.25,TRUE,FALSE),IF(AX695&gt;=0.25,TRUE,FALSE))</f>
        <v>0</v>
      </c>
      <c r="AP695" s="2532"/>
      <c r="AW695" s="22" t="s">
        <v>2191</v>
      </c>
      <c r="AX695" s="551">
        <f>IFERROR(AX694/AX690,0)</f>
        <v>0.15748031496062992</v>
      </c>
      <c r="AY695" s="551">
        <f>IFERROR(AX694/(AX690-AX689),0)</f>
        <v>0.15748031496062992</v>
      </c>
    </row>
    <row r="696" spans="1:51" s="551" customFormat="1" ht="12.75" customHeight="1">
      <c r="B696" s="537"/>
      <c r="C696" s="941"/>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7" t="s">
        <v>2137</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7"/>
      <c r="AD699" s="537"/>
      <c r="AE699" s="537"/>
      <c r="AF699" s="2442" t="s">
        <v>1409</v>
      </c>
      <c r="AG699" s="2442"/>
      <c r="AH699" s="2442"/>
      <c r="AI699" s="2442"/>
      <c r="AJ699" s="2442"/>
      <c r="AK699" s="2442"/>
      <c r="AL699" s="2442"/>
      <c r="AN699" s="598"/>
      <c r="AO699" s="612" t="s">
        <v>510</v>
      </c>
      <c r="AP699" s="551">
        <v>1</v>
      </c>
    </row>
    <row r="700" spans="1:51" s="551" customFormat="1" ht="12" customHeight="1">
      <c r="B700" s="537"/>
      <c r="C700" s="932"/>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7"/>
      <c r="AD700" s="537"/>
      <c r="AE700" s="617"/>
      <c r="AF700" s="537"/>
      <c r="AG700" s="537"/>
      <c r="AH700" s="537"/>
      <c r="AI700" s="537"/>
      <c r="AJ700" s="537"/>
      <c r="AK700" s="537"/>
      <c r="AL700" s="537"/>
      <c r="AN700" s="598"/>
    </row>
    <row r="701" spans="1:51" s="551" customFormat="1" ht="12" customHeight="1">
      <c r="B701" s="537"/>
      <c r="C701" s="932"/>
      <c r="D701" s="537"/>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7"/>
      <c r="AD701" s="537"/>
      <c r="AE701" s="617"/>
      <c r="AF701" s="537"/>
      <c r="AG701" s="537"/>
      <c r="AH701" s="537"/>
      <c r="AI701" s="537"/>
      <c r="AJ701" s="537"/>
      <c r="AK701" s="537"/>
      <c r="AL701" s="537"/>
      <c r="AN701" s="598"/>
    </row>
    <row r="702" spans="1:51" s="551" customFormat="1" ht="12" customHeight="1">
      <c r="B702" s="537"/>
      <c r="C702" s="932"/>
      <c r="D702" s="537"/>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7"/>
      <c r="AD702" s="537"/>
      <c r="AE702" s="617"/>
      <c r="AF702" s="537"/>
      <c r="AG702" s="537"/>
      <c r="AH702" s="537"/>
      <c r="AI702" s="537"/>
      <c r="AJ702" s="537"/>
      <c r="AK702" s="537"/>
      <c r="AL702" s="537"/>
      <c r="AN702" s="598"/>
    </row>
    <row r="703" spans="1:51" s="571" customFormat="1" ht="13" customHeight="1">
      <c r="A703" s="551"/>
      <c r="B703" s="537"/>
      <c r="C703" s="932"/>
      <c r="D703" s="537"/>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7" t="s">
        <v>1694</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6" t="s">
        <v>592</v>
      </c>
      <c r="I709" s="252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7">
        <f>VLOOKUP($H$709,$AO$703:$AP$706,2,FALSE)</f>
        <v>0</v>
      </c>
      <c r="AK711" s="2479"/>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7"/>
      <c r="AD715" s="537"/>
      <c r="AE715" s="537"/>
      <c r="AF715" s="2442" t="s">
        <v>1353</v>
      </c>
      <c r="AG715" s="2442"/>
      <c r="AH715" s="2442"/>
      <c r="AI715" s="2442"/>
      <c r="AJ715" s="2442"/>
      <c r="AK715" s="2442"/>
      <c r="AL715" s="2442"/>
      <c r="AM715" s="551"/>
      <c r="AN715" s="685"/>
      <c r="AP715" s="571" t="s">
        <v>1433</v>
      </c>
    </row>
    <row r="716" spans="1:43" s="571" customFormat="1" ht="11.9" customHeight="1">
      <c r="A716" s="551"/>
      <c r="B716" s="537"/>
      <c r="C716" s="934"/>
      <c r="D716" s="664"/>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7"/>
      <c r="AD719" s="537"/>
      <c r="AE719" s="537"/>
      <c r="AF719" s="2442" t="s">
        <v>1409</v>
      </c>
      <c r="AG719" s="2442"/>
      <c r="AH719" s="2442"/>
      <c r="AI719" s="2442"/>
      <c r="AJ719" s="2442"/>
      <c r="AK719" s="2442"/>
      <c r="AL719" s="2442"/>
      <c r="AM719" s="551"/>
      <c r="AN719" s="686"/>
    </row>
    <row r="720" spans="1:43" s="571" customFormat="1" ht="12.75" customHeight="1">
      <c r="A720" s="551"/>
      <c r="B720" s="537"/>
      <c r="C720" s="934"/>
      <c r="D720" s="537"/>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526" t="s">
        <v>592</v>
      </c>
      <c r="I723" s="252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7">
        <f>VLOOKUP($H$723,$AP$720:$AQ$722,2,FALSE)</f>
        <v>0</v>
      </c>
      <c r="AK725" s="2479"/>
      <c r="AL725" s="596"/>
      <c r="AM725" s="551"/>
      <c r="AN725" s="685"/>
      <c r="AP725" s="2477"/>
      <c r="AQ725" s="247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7" t="s">
        <v>1697</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7"/>
      <c r="AD729" s="537"/>
      <c r="AE729" s="537"/>
      <c r="AF729" s="2442" t="s">
        <v>1353</v>
      </c>
      <c r="AG729" s="2442"/>
      <c r="AH729" s="2442"/>
      <c r="AI729" s="2442"/>
      <c r="AJ729" s="2442"/>
      <c r="AK729" s="2442"/>
      <c r="AL729" s="2442"/>
      <c r="AM729" s="551"/>
      <c r="AN729" s="685"/>
      <c r="AT729" s="14"/>
      <c r="AU729" s="14"/>
      <c r="AV729" s="14"/>
      <c r="AW729" s="14"/>
      <c r="AX729" s="14"/>
      <c r="AY729" s="14"/>
      <c r="AZ729" s="14"/>
    </row>
    <row r="730" spans="1:81" s="571" customFormat="1" ht="13">
      <c r="A730" s="551"/>
      <c r="B730" s="537"/>
      <c r="C730" s="934"/>
      <c r="D730" s="664"/>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7" t="s">
        <v>1440</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7"/>
      <c r="AD732" s="537"/>
      <c r="AE732" s="537"/>
      <c r="AF732" s="2442" t="s">
        <v>1409</v>
      </c>
      <c r="AG732" s="2442"/>
      <c r="AH732" s="2442"/>
      <c r="AI732" s="2442"/>
      <c r="AJ732" s="2442"/>
      <c r="AK732" s="2442"/>
      <c r="AL732" s="2442"/>
      <c r="AM732" s="551"/>
      <c r="AN732" s="685"/>
      <c r="AT732" s="14"/>
      <c r="AU732" s="14"/>
      <c r="AV732" s="14"/>
      <c r="AW732" s="14"/>
      <c r="AX732" s="14"/>
      <c r="AY732" s="14"/>
      <c r="AZ732" s="14"/>
    </row>
    <row r="733" spans="1:81" s="571" customFormat="1" ht="13">
      <c r="A733" s="551"/>
      <c r="B733" s="537"/>
      <c r="C733" s="934"/>
      <c r="D733" s="537"/>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6" t="s">
        <v>592</v>
      </c>
      <c r="I735" s="252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7">
        <f>VLOOKUP($H$735,$AO$666:$AP$668,2,FALSE)</f>
        <v>0</v>
      </c>
      <c r="AK737" s="247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7" t="s">
        <v>1443</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7"/>
      <c r="AD741" s="537"/>
      <c r="AE741" s="537"/>
      <c r="AF741" s="2442" t="s">
        <v>1353</v>
      </c>
      <c r="AG741" s="2442"/>
      <c r="AH741" s="2442"/>
      <c r="AI741" s="2442"/>
      <c r="AJ741" s="2442"/>
      <c r="AK741" s="2442"/>
      <c r="AL741" s="2442"/>
      <c r="AM741" s="551"/>
      <c r="AN741" s="685"/>
      <c r="AT741" s="14"/>
      <c r="AU741" s="14"/>
      <c r="AV741" s="14"/>
      <c r="AW741" s="14"/>
      <c r="AX741" s="14"/>
      <c r="AY741" s="14"/>
      <c r="AZ741" s="14"/>
    </row>
    <row r="742" spans="1:81" s="571" customFormat="1" ht="13">
      <c r="A742" s="551"/>
      <c r="B742" s="537"/>
      <c r="C742" s="932"/>
      <c r="D742" s="664"/>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7" t="s">
        <v>1444</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6"/>
      <c r="AC746" s="537"/>
      <c r="AD746" s="537"/>
      <c r="AE746" s="537"/>
      <c r="AF746" s="2442" t="s">
        <v>1409</v>
      </c>
      <c r="AG746" s="2442"/>
      <c r="AH746" s="2442"/>
      <c r="AI746" s="2442"/>
      <c r="AJ746" s="2442"/>
      <c r="AK746" s="2442"/>
      <c r="AL746" s="2442"/>
      <c r="AM746" s="551"/>
      <c r="AN746" s="685"/>
      <c r="AO746" s="30"/>
      <c r="AP746" s="14"/>
    </row>
    <row r="747" spans="1:81" s="571" customFormat="1" ht="13">
      <c r="A747" s="551"/>
      <c r="B747" s="537"/>
      <c r="C747" s="932"/>
      <c r="D747" s="664"/>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6" t="s">
        <v>592</v>
      </c>
      <c r="I751" s="252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7">
        <f>VLOOKUP($H$751,$AO$680:$AP$682,2,FALSE)</f>
        <v>0</v>
      </c>
      <c r="AK753" s="247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7" t="s">
        <v>1446</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7"/>
      <c r="AD757" s="537"/>
      <c r="AE757" s="537"/>
      <c r="AF757" s="2442" t="s">
        <v>1409</v>
      </c>
      <c r="AG757" s="2442"/>
      <c r="AH757" s="2442"/>
      <c r="AI757" s="2442"/>
      <c r="AJ757" s="2442"/>
      <c r="AK757" s="2442"/>
      <c r="AL757" s="244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7" t="s">
        <v>1447</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7"/>
      <c r="AD760" s="537"/>
      <c r="AE760" s="537"/>
      <c r="AF760" s="2442" t="s">
        <v>1426</v>
      </c>
      <c r="AG760" s="2442"/>
      <c r="AH760" s="2442"/>
      <c r="AI760" s="2442"/>
      <c r="AJ760" s="2442"/>
      <c r="AK760" s="2442"/>
      <c r="AL760" s="244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6" t="s">
        <v>688</v>
      </c>
      <c r="I763" s="252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7">
        <f>VLOOKUP($H$763,$AO$697:$AP$699,2,FALSE)</f>
        <v>2</v>
      </c>
      <c r="AK765" s="247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97" t="s">
        <v>1693</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7"/>
      <c r="AF769" s="2442" t="s">
        <v>1409</v>
      </c>
      <c r="AG769" s="2442"/>
      <c r="AH769" s="2442"/>
      <c r="AI769" s="2442"/>
      <c r="AJ769" s="2442"/>
      <c r="AK769" s="2442"/>
      <c r="AL769" s="2442"/>
      <c r="AM769" s="614"/>
      <c r="AN769" s="685"/>
      <c r="AO769" s="551" t="s">
        <v>592</v>
      </c>
      <c r="AP769" s="674">
        <v>0</v>
      </c>
    </row>
    <row r="770" spans="1:81" s="571" customFormat="1" ht="13.75" customHeight="1">
      <c r="A770" s="551"/>
      <c r="B770" s="617"/>
      <c r="C770" s="941"/>
      <c r="D770" s="664"/>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442" t="s">
        <v>1353</v>
      </c>
      <c r="AG774" s="2442"/>
      <c r="AH774" s="2442"/>
      <c r="AI774" s="2442"/>
      <c r="AJ774" s="2442"/>
      <c r="AK774" s="2442"/>
      <c r="AL774" s="2442"/>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6" t="s">
        <v>592</v>
      </c>
      <c r="I779" s="252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7">
        <f>VLOOKUP($H$779,$AO$769:$AP$771,2,FALSE)</f>
        <v>0</v>
      </c>
      <c r="AK781" s="247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97" t="s">
        <v>2035</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7"/>
      <c r="AF785" s="2442" t="s">
        <v>1353</v>
      </c>
      <c r="AG785" s="2442"/>
      <c r="AH785" s="2442"/>
      <c r="AI785" s="2442"/>
      <c r="AJ785" s="2442"/>
      <c r="AK785" s="2442"/>
      <c r="AL785" s="2442"/>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6" t="s">
        <v>592</v>
      </c>
      <c r="I790" s="252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7">
        <f>VLOOKUP($H$790,$AO$784:$AP$785,2,FALSE)</f>
        <v>0</v>
      </c>
      <c r="AK792" s="247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7">
        <f>IF(($AJ$621+$AJ$640+$AJ$652+$AJ$687+$AJ$711+$AJ$725+$AJ$737+$AJ$753+$AJ$765+$AJ$781+AJ792)&gt;10,10,($AJ$621+$AJ$640+$AJ$652+$AJ$687+$AJ$711+$AJ$725+$AJ$737+$AJ$753+$AJ$765+$AJ$781+AJ792))</f>
        <v>10</v>
      </c>
      <c r="AL794" s="2478"/>
      <c r="AM794" s="247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0" t="s">
        <v>1569</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7"/>
      <c r="AQ800" s="817"/>
    </row>
    <row r="801" spans="1:81" ht="13">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3" t="s">
        <v>1570</v>
      </c>
      <c r="U802" s="2574"/>
      <c r="V802" s="2574"/>
      <c r="W802" s="2574"/>
      <c r="X802" s="2574"/>
      <c r="Y802" s="2575"/>
      <c r="Z802" s="2573" t="s">
        <v>1571</v>
      </c>
      <c r="AA802" s="2574"/>
      <c r="AB802" s="2574"/>
      <c r="AC802" s="2574"/>
      <c r="AD802" s="2574"/>
      <c r="AE802" s="2575"/>
      <c r="AF802" s="2573" t="s">
        <v>1572</v>
      </c>
      <c r="AG802" s="2574"/>
      <c r="AH802" s="2574"/>
      <c r="AI802" s="2574"/>
      <c r="AJ802" s="2574"/>
      <c r="AK802" s="2575"/>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6"/>
      <c r="U803" s="2577"/>
      <c r="V803" s="2577"/>
      <c r="W803" s="2577"/>
      <c r="X803" s="2577"/>
      <c r="Y803" s="2578"/>
      <c r="Z803" s="2576"/>
      <c r="AA803" s="2577"/>
      <c r="AB803" s="2577"/>
      <c r="AC803" s="2577"/>
      <c r="AD803" s="2577"/>
      <c r="AE803" s="2578"/>
      <c r="AF803" s="2576"/>
      <c r="AG803" s="2577"/>
      <c r="AH803" s="2577"/>
      <c r="AI803" s="2577"/>
      <c r="AJ803" s="2577"/>
      <c r="AK803" s="2578"/>
      <c r="AL803" s="819"/>
      <c r="AM803" s="597"/>
      <c r="AO803" s="817"/>
      <c r="AP803" s="817"/>
      <c r="AQ803" s="817"/>
    </row>
    <row r="804" spans="1:81" ht="13">
      <c r="A804" s="820" t="s">
        <v>758</v>
      </c>
      <c r="B804" s="2553" t="s">
        <v>1305</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9"/>
      <c r="AM804" s="597"/>
      <c r="AO804" s="817"/>
      <c r="AP804" s="817"/>
      <c r="AQ804" s="817"/>
    </row>
    <row r="805" spans="1:81" ht="13">
      <c r="A805" s="820" t="s">
        <v>1542</v>
      </c>
      <c r="B805" s="2553" t="s">
        <v>1314</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9"/>
      <c r="AM805" s="597"/>
      <c r="AO805" s="817"/>
      <c r="AP805" s="817"/>
      <c r="AQ805" s="817"/>
    </row>
    <row r="806" spans="1:81" ht="13">
      <c r="A806" s="820" t="s">
        <v>1551</v>
      </c>
      <c r="B806" s="2553" t="s">
        <v>1324</v>
      </c>
      <c r="C806" s="2553"/>
      <c r="D806" s="2553"/>
      <c r="E806" s="2553"/>
      <c r="F806" s="2553"/>
      <c r="G806" s="2553"/>
      <c r="H806" s="2553"/>
      <c r="I806" s="2553"/>
      <c r="J806" s="2553"/>
      <c r="K806" s="2553"/>
      <c r="L806" s="2553"/>
      <c r="M806" s="2553"/>
      <c r="N806" s="2553"/>
      <c r="O806" s="2553"/>
      <c r="P806" s="2553"/>
      <c r="Q806" s="2553"/>
      <c r="R806" s="2553"/>
      <c r="S806" s="2554"/>
      <c r="T806" s="2555">
        <f>AK109</f>
        <v>20</v>
      </c>
      <c r="U806" s="2556"/>
      <c r="V806" s="2556"/>
      <c r="W806" s="2556"/>
      <c r="X806" s="2556"/>
      <c r="Y806" s="2557"/>
      <c r="Z806" s="2558">
        <v>20</v>
      </c>
      <c r="AA806" s="2556"/>
      <c r="AB806" s="2556"/>
      <c r="AC806" s="2556"/>
      <c r="AD806" s="2556"/>
      <c r="AE806" s="2557"/>
      <c r="AF806" s="2539">
        <f>IF(T806&gt;Z806,Z806,T806)</f>
        <v>20</v>
      </c>
      <c r="AG806" s="2539"/>
      <c r="AH806" s="2539"/>
      <c r="AI806" s="2539"/>
      <c r="AJ806" s="2539"/>
      <c r="AK806" s="2539"/>
      <c r="AL806" s="819"/>
      <c r="AM806" s="597"/>
      <c r="AO806" s="817"/>
      <c r="AP806" s="817"/>
      <c r="AQ806" s="817"/>
    </row>
    <row r="807" spans="1:81" ht="13">
      <c r="A807" s="820" t="s">
        <v>1573</v>
      </c>
      <c r="B807" s="2553" t="s">
        <v>1334</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9"/>
      <c r="AM807" s="597"/>
      <c r="AO807" s="817"/>
      <c r="AP807" s="817"/>
      <c r="AQ807" s="817"/>
    </row>
    <row r="808" spans="1:81" ht="13">
      <c r="A808" s="821" t="s">
        <v>1574</v>
      </c>
      <c r="B808" s="2553" t="s">
        <v>1575</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9"/>
      <c r="AM808" s="597"/>
    </row>
    <row r="809" spans="1:81" ht="13">
      <c r="A809" s="536"/>
      <c r="B809" s="602"/>
      <c r="C809" s="2580" t="s">
        <v>1576</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9"/>
      <c r="AM809" s="597"/>
    </row>
    <row r="810" spans="1:81" ht="13">
      <c r="A810" s="601"/>
      <c r="B810" s="602"/>
      <c r="C810" s="2580" t="s">
        <v>1577</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9"/>
      <c r="AM810" s="597"/>
      <c r="AO810" s="551"/>
    </row>
    <row r="811" spans="1:81" ht="13">
      <c r="A811" s="821" t="s">
        <v>1362</v>
      </c>
      <c r="B811" s="2553" t="s">
        <v>1578</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9"/>
      <c r="AM811" s="597"/>
    </row>
    <row r="812" spans="1:81" ht="13">
      <c r="A812" s="820" t="s">
        <v>1371</v>
      </c>
      <c r="B812" s="2553" t="s">
        <v>1372</v>
      </c>
      <c r="C812" s="2553"/>
      <c r="D812" s="2553"/>
      <c r="E812" s="2553"/>
      <c r="F812" s="2553"/>
      <c r="G812" s="2553"/>
      <c r="H812" s="2553"/>
      <c r="I812" s="2553"/>
      <c r="J812" s="2553"/>
      <c r="K812" s="2553"/>
      <c r="L812" s="2553"/>
      <c r="M812" s="2553"/>
      <c r="N812" s="2553"/>
      <c r="O812" s="2553"/>
      <c r="P812" s="2553"/>
      <c r="Q812" s="2553"/>
      <c r="R812" s="2553"/>
      <c r="S812" s="2554"/>
      <c r="T812" s="2579">
        <f ca="1">AK273</f>
        <v>8</v>
      </c>
      <c r="U812" s="2579"/>
      <c r="V812" s="2579"/>
      <c r="W812" s="2579"/>
      <c r="X812" s="2579"/>
      <c r="Y812" s="2579"/>
      <c r="Z812" s="2558">
        <v>8</v>
      </c>
      <c r="AA812" s="2556"/>
      <c r="AB812" s="2556"/>
      <c r="AC812" s="2556"/>
      <c r="AD812" s="2556"/>
      <c r="AE812" s="2557"/>
      <c r="AF812" s="2539">
        <f ca="1">IF(T812&gt;Z812,Z812,T812)</f>
        <v>8</v>
      </c>
      <c r="AG812" s="2539"/>
      <c r="AH812" s="2539"/>
      <c r="AI812" s="2539"/>
      <c r="AJ812" s="2539"/>
      <c r="AK812" s="2539"/>
      <c r="AL812" s="819"/>
      <c r="AM812" s="597"/>
    </row>
    <row r="813" spans="1:81" s="535" customFormat="1" ht="13" hidden="1">
      <c r="A813" s="821" t="s">
        <v>590</v>
      </c>
      <c r="B813" s="2553" t="s">
        <v>1579</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3" t="s">
        <v>1580</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3" t="s">
        <v>1382</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3" t="s">
        <v>846</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3" t="s">
        <v>1560</v>
      </c>
      <c r="C818" s="2553"/>
      <c r="D818" s="2553"/>
      <c r="E818" s="2553"/>
      <c r="F818" s="2553"/>
      <c r="G818" s="2553"/>
      <c r="H818" s="2553"/>
      <c r="I818" s="2553"/>
      <c r="J818" s="2553"/>
      <c r="K818" s="2553"/>
      <c r="L818" s="2553"/>
      <c r="M818" s="2553"/>
      <c r="N818" s="2553"/>
      <c r="O818" s="2553"/>
      <c r="P818" s="2553"/>
      <c r="Q818" s="2553"/>
      <c r="R818" s="2553"/>
      <c r="S818" s="2554"/>
      <c r="T818" s="2579">
        <f ca="1">AK559</f>
        <v>12</v>
      </c>
      <c r="U818" s="2579"/>
      <c r="V818" s="2579"/>
      <c r="W818" s="2579"/>
      <c r="X818" s="2579"/>
      <c r="Y818" s="2579"/>
      <c r="Z818" s="2585">
        <v>12</v>
      </c>
      <c r="AA818" s="2586"/>
      <c r="AB818" s="2586"/>
      <c r="AC818" s="2586"/>
      <c r="AD818" s="2586"/>
      <c r="AE818" s="2587"/>
      <c r="AF818" s="2539">
        <f ca="1">IF(T818&gt;Z818,Z818,T818)</f>
        <v>12</v>
      </c>
      <c r="AG818" s="2539"/>
      <c r="AH818" s="2539"/>
      <c r="AI818" s="2539"/>
      <c r="AJ818" s="2539"/>
      <c r="AK818" s="253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3" t="s">
        <v>1582</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3" t="s">
        <v>1583</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1584</v>
      </c>
      <c r="AA820" s="2473"/>
      <c r="AB820" s="2473"/>
      <c r="AC820" s="2473"/>
      <c r="AD820" s="2473"/>
      <c r="AE820" s="2473"/>
      <c r="AF820" s="2585">
        <f>IF(T820&gt;0,T820,0)</f>
        <v>0</v>
      </c>
      <c r="AG820" s="2586"/>
      <c r="AH820" s="2586"/>
      <c r="AI820" s="2586"/>
      <c r="AJ820" s="2586"/>
      <c r="AK820" s="25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88" t="s">
        <v>1585</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454KuBbtUqxKZvb92uLlqeKgLNbRYevlZ1LxbkvBFq6arXwbleuRSW7ChOMm6ATviI0j+HOqtwUaPDdlRlNNLg==" saltValue="SG3OYW50teYOEU1GO6wG1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2025-01-23T20:02:59Z</cp:lastPrinted>
  <dcterms:created xsi:type="dcterms:W3CDTF">2007-12-27T18:26:28Z</dcterms:created>
  <dcterms:modified xsi:type="dcterms:W3CDTF">2025-02-03T17:45:54Z</dcterms:modified>
</cp:coreProperties>
</file>